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mc:AlternateContent xmlns:mc="http://schemas.openxmlformats.org/markup-compatibility/2006">
    <mc:Choice Requires="x15">
      <x15ac:absPath xmlns:x15ac="http://schemas.microsoft.com/office/spreadsheetml/2010/11/ac" url="P:\clients\19 DT\1946 Renewable Innovation Technical Advisor Service\Simple LCOE model update\"/>
    </mc:Choice>
  </mc:AlternateContent>
  <xr:revisionPtr revIDLastSave="0" documentId="13_ncr:1_{FA5CA0F7-4B2E-4B67-B819-6FB613121751}" xr6:coauthVersionLast="45" xr6:coauthVersionMax="46" xr10:uidLastSave="{00000000-0000-0000-0000-000000000000}"/>
  <bookViews>
    <workbookView xWindow="-120" yWindow="-120" windowWidth="29040" windowHeight="15840" activeTab="1" xr2:uid="{914EAF2F-6FD1-4421-AD58-52509FE8D505}"/>
  </bookViews>
  <sheets>
    <sheet name="About" sheetId="1" r:id="rId1"/>
    <sheet name="Contents and instructions" sheetId="2" r:id="rId2"/>
    <sheet name="Stakeholder" sheetId="26" r:id="rId3"/>
    <sheet name="Definitions" sheetId="21" r:id="rId4"/>
    <sheet name="Calculator" sheetId="3" r:id="rId5"/>
    <sheet name="LCOE Base" sheetId="5" state="hidden" r:id="rId6"/>
    <sheet name="LCOE Innovation" sheetId="6" state="hidden" r:id="rId7"/>
    <sheet name="Contributions to LCOE" sheetId="23" state="hidden" r:id="rId8"/>
    <sheet name="Data" sheetId="4" r:id="rId9"/>
  </sheets>
  <externalReferences>
    <externalReference r:id="rId10"/>
    <externalReference r:id="rId11"/>
  </externalReferences>
  <definedNames>
    <definedName name="_Fill" localSheetId="7" hidden="1">'[1]Data Input'!#REF!</definedName>
    <definedName name="_Fill" localSheetId="2" hidden="1">'[1]Data Input'!#REF!</definedName>
    <definedName name="_Fill" hidden="1">'[1]Data Input'!#REF!</definedName>
    <definedName name="_Fill2" localSheetId="7" hidden="1">'[1]Data Input'!#REF!</definedName>
    <definedName name="_Fill2" localSheetId="2" hidden="1">'[1]Data Input'!#REF!</definedName>
    <definedName name="_Fill2" hidden="1">'[1]Data Input'!#REF!</definedName>
    <definedName name="_IV2000" localSheetId="7" hidden="1">'[2]Data Input'!#REF!</definedName>
    <definedName name="_IV2000" localSheetId="2" hidden="1">'[2]Data Input'!#REF!</definedName>
    <definedName name="_IV2000" hidden="1">'[2]Data Input'!#REF!</definedName>
    <definedName name="_IV2000b" localSheetId="7" hidden="1">'[2]Data Input'!#REF!</definedName>
    <definedName name="_IV2000b" localSheetId="2" hidden="1">'[2]Data Input'!#REF!</definedName>
    <definedName name="_IV2000b" hidden="1">'[2]Data Input'!#REF!</definedName>
    <definedName name="FF" localSheetId="7" hidden="1">'[2]Data Input'!#REF!</definedName>
    <definedName name="FF" localSheetId="2" hidden="1">'[2]Data Input'!#REF!</definedName>
    <definedName name="FF" hidden="1">'[2]Data Input'!#REF!</definedName>
    <definedName name="FFa" localSheetId="7" hidden="1">'[2]Data Input'!#REF!</definedName>
    <definedName name="FFa" localSheetId="2" hidden="1">'[2]Data Input'!#REF!</definedName>
    <definedName name="FFa" hidden="1">'[2]Data Input'!#REF!</definedName>
    <definedName name="input_data">Data!$B$4:$G$42</definedName>
    <definedName name="_xlnm.Print_Area" localSheetId="4">Calculator!$A$1:$K$76</definedName>
    <definedName name="_xlnm.Print_Area" localSheetId="2">Stakeholder!$A$11:$F$52</definedName>
    <definedName name="wrn.Actual._.Data._.Entry." localSheetId="2" hidden="1">{#N/A,#N/A,FALSE,"Sales"}</definedName>
    <definedName name="wrn.Actual._.Data._.Entry." hidden="1">{#N/A,#N/A,FALSE,"Sales"}</definedName>
    <definedName name="wrn.Annual_n_Quarterly." localSheetId="2" hidden="1">{"Annual",#N/A,FALSE,"Sales &amp; Market";"Quarterly",#N/A,FALSE,"Sales &amp; Market"}</definedName>
    <definedName name="wrn.Annual_n_Quarterly." hidden="1">{"Annual",#N/A,FALSE,"Sales &amp; Market";"Quarterly",#N/A,FALSE,"Sales &amp; Market"}</definedName>
    <definedName name="wrn.Assumptions." localSheetId="2" hidden="1">{#N/A,#N/A,FALSE,"Assumptions"}</definedName>
    <definedName name="wrn.Assumptions." hidden="1">{#N/A,#N/A,FALSE,"Assumptions"}</definedName>
    <definedName name="wrn.Financing." localSheetId="2" hidden="1">{#N/A,#N/A,FALSE,"Financing"}</definedName>
    <definedName name="wrn.Financing." hidden="1">{#N/A,#N/A,FALSE,"Financing"}</definedName>
    <definedName name="wrn.Fuil._.Report." localSheetId="2" hidden="1">{#N/A,#N/A,FALSE,"Title";#N/A,#N/A,FALSE,"Index";#N/A,#N/A,FALSE,"Summary";#N/A,#N/A,FALSE,"Fin stat";#N/A,#N/A,FALSE,"Index (2)";#N/A,#N/A,FALSE,"Assumptions";#N/A,#N/A,FALSE,"Revenue";#N/A,#N/A,FALSE,"Operating costs";#N/A,#N/A,FALSE,"Project Capital Cost";#N/A,#N/A,FALSE,"Financing"}</definedName>
    <definedName name="wrn.Fuil._.Report." hidden="1">{#N/A,#N/A,FALSE,"Title";#N/A,#N/A,FALSE,"Index";#N/A,#N/A,FALSE,"Summary";#N/A,#N/A,FALSE,"Fin stat";#N/A,#N/A,FALSE,"Index (2)";#N/A,#N/A,FALSE,"Assumptions";#N/A,#N/A,FALSE,"Revenue";#N/A,#N/A,FALSE,"Operating costs";#N/A,#N/A,FALSE,"Project Capital Cost";#N/A,#N/A,FALSE,"Financing"}</definedName>
    <definedName name="wrn.Operating._.costs." localSheetId="2" hidden="1">{#N/A,#N/A,FALSE,"Operating costs"}</definedName>
    <definedName name="wrn.Operating._.costs." hidden="1">{#N/A,#N/A,FALSE,"Operating costs"}</definedName>
    <definedName name="wrn.print." localSheetId="2" hidden="1">{#N/A,#N/A,FALSE,"Financial";#N/A,#N/A,FALSE,"Balance Sheet";#N/A,#N/A,FALSE,"Income stmt";#N/A,#N/A,FALSE,"Ratio"}</definedName>
    <definedName name="wrn.print." hidden="1">{#N/A,#N/A,FALSE,"Financial";#N/A,#N/A,FALSE,"Balance Sheet";#N/A,#N/A,FALSE,"Income stmt";#N/A,#N/A,FALSE,"Ratio"}</definedName>
    <definedName name="wrn.Project._.capital." localSheetId="2" hidden="1">{#N/A,#N/A,FALSE,"Project Capital Cost"}</definedName>
    <definedName name="wrn.Project._.capital." hidden="1">{#N/A,#N/A,FALSE,"Project Capital Cost"}</definedName>
    <definedName name="wrn.Revenue." localSheetId="2" hidden="1">{#N/A,#N/A,FALSE,"Revenue"}</definedName>
    <definedName name="wrn.Revenue." hidden="1">{#N/A,#N/A,FALSE,"Revenue"}</definedName>
    <definedName name="wrn.Sensitivity._.graph." localSheetId="2" hidden="1">{#N/A,#N/A,FALSE,"Sensitivity Cases"}</definedName>
    <definedName name="wrn.Sensitivity._.graph." hidden="1">{#N/A,#N/A,FALSE,"Sensitivity Cases"}</definedName>
    <definedName name="wrn.Summary.Fin._.stat." localSheetId="2" hidden="1">{#N/A,#N/A,TRUE,"Title";#N/A,#N/A,TRUE,"Summary";#N/A,#N/A,TRUE,"Fin stat"}</definedName>
    <definedName name="wrn.Summary.Fin._.stat." hidden="1">{#N/A,#N/A,TRUE,"Title";#N/A,#N/A,TRUE,"Summary";#N/A,#N/A,TRUE,"Fin stat"}</definedName>
    <definedName name="x" localSheetId="2" hidden="1">{#N/A,#N/A,FALSE,"Assumptions"}</definedName>
    <definedName name="x" hidden="1">{#N/A,#N/A,FALSE,"Assumptions"}</definedName>
    <definedName name="Z_6EFC19BA_DD6E_47CD_9957_A134841DA95E_.wvu.Rows" localSheetId="4" hidden="1">Calculator!#REF!,Calculator!$72:$72</definedName>
    <definedName name="Z_6EFC19BA_DD6E_47CD_9957_A134841DA95E_.wvu.Rows" localSheetId="7" hidden="1">'Contributions to LCOE'!$30:$30</definedName>
    <definedName name="Z_6EFC19BA_DD6E_47CD_9957_A134841DA95E_.wvu.Rows" localSheetId="5" hidden="1">'LCOE Base'!$30:$30</definedName>
    <definedName name="Z_6EFC19BA_DD6E_47CD_9957_A134841DA95E_.wvu.Rows" localSheetId="6" hidden="1">'LCOE Innovation'!$30:$30</definedName>
    <definedName name="Z_6EFC19BA_DD6E_47CD_9957_A134841DA95E_.wvu.Rows" localSheetId="2" hidden="1">Stakeholder!$33:$33,Stakeholder!$48:$48</definedName>
  </definedNames>
  <calcPr calcId="191029" calcMode="autoNoTable"/>
  <customWorkbookViews>
    <customWorkbookView name="fentons - Personal View" guid="{6EFC19BA-DD6E-47CD-9957-A134841DA95E}" mergeInterval="0" personalView="1" maximized="1" xWindow="1" yWindow="1" windowWidth="1676" windowHeight="83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21" l="1"/>
  <c r="M30" i="3"/>
  <c r="M29" i="3"/>
  <c r="E35" i="3"/>
  <c r="B35" i="3"/>
  <c r="L65" i="3" l="1"/>
  <c r="L66" i="3"/>
  <c r="E37" i="3" l="1"/>
  <c r="B37" i="3"/>
  <c r="C74" i="3" l="1"/>
  <c r="C9" i="26" l="1" a="1"/>
  <c r="C9" i="26" s="1"/>
  <c r="N63" i="3" l="1"/>
  <c r="M63" i="3"/>
  <c r="L63" i="3" l="1"/>
  <c r="M47" i="3"/>
  <c r="A4" i="2" l="1"/>
  <c r="C14" i="3" l="1"/>
  <c r="C33" i="3" l="1"/>
  <c r="C10" i="26" l="1"/>
  <c r="C12" i="3" l="1" a="1"/>
  <c r="C12" i="3" s="1"/>
  <c r="M18" i="3" s="1"/>
  <c r="N52" i="3"/>
  <c r="N53" i="3"/>
  <c r="N54" i="3"/>
  <c r="N58" i="3"/>
  <c r="N60" i="3"/>
  <c r="N61" i="3"/>
  <c r="N62" i="3"/>
  <c r="N64" i="3"/>
  <c r="N69" i="3"/>
  <c r="N40" i="3"/>
  <c r="N47" i="3"/>
  <c r="L47" i="3" s="1"/>
  <c r="N41" i="3"/>
  <c r="N42" i="3"/>
  <c r="N43" i="3"/>
  <c r="N44" i="3"/>
  <c r="N45" i="3"/>
  <c r="N46" i="3"/>
  <c r="N48" i="3"/>
  <c r="N39" i="3"/>
  <c r="M69" i="3"/>
  <c r="M61" i="3"/>
  <c r="M62" i="3"/>
  <c r="M64" i="3"/>
  <c r="M60" i="3"/>
  <c r="M58" i="3"/>
  <c r="M53" i="3"/>
  <c r="M54" i="3"/>
  <c r="M52" i="3"/>
  <c r="M40" i="3"/>
  <c r="M41" i="3"/>
  <c r="M42" i="3"/>
  <c r="M43" i="3"/>
  <c r="M44" i="3"/>
  <c r="M45" i="3"/>
  <c r="M46" i="3"/>
  <c r="M48" i="3"/>
  <c r="M39" i="3"/>
  <c r="L53" i="3" l="1"/>
  <c r="L54" i="3"/>
  <c r="C15" i="3"/>
  <c r="M12" i="3" s="1"/>
  <c r="L62" i="3"/>
  <c r="L40" i="3"/>
  <c r="L41" i="3"/>
  <c r="L61" i="3"/>
  <c r="L46" i="3"/>
  <c r="L44" i="3"/>
  <c r="L69" i="3"/>
  <c r="L64" i="3"/>
  <c r="L45" i="3"/>
  <c r="C13" i="3"/>
  <c r="M11" i="3" s="1"/>
  <c r="L48" i="3"/>
  <c r="L43" i="3"/>
  <c r="L42" i="3"/>
  <c r="L60" i="3"/>
  <c r="L52" i="3"/>
  <c r="L39" i="3"/>
  <c r="L58" i="3"/>
  <c r="C11" i="3"/>
  <c r="M10" i="3" s="1"/>
  <c r="C10" i="3" l="1" a="1"/>
  <c r="C10" i="3" s="1"/>
  <c r="M17" i="3" s="1"/>
  <c r="C17" i="3" l="1"/>
  <c r="C9" i="3" l="1"/>
  <c r="M9" i="3" s="1"/>
  <c r="F55" i="23" l="1"/>
  <c r="F56" i="23"/>
  <c r="F57" i="23"/>
  <c r="F58" i="23"/>
  <c r="F59" i="23"/>
  <c r="F60" i="23"/>
  <c r="F61" i="23"/>
  <c r="F62" i="23"/>
  <c r="F63" i="23"/>
  <c r="F54" i="23"/>
  <c r="G10" i="6" l="1"/>
  <c r="H10" i="6"/>
  <c r="I10" i="6"/>
  <c r="J10" i="6"/>
  <c r="K10" i="6"/>
  <c r="B68" i="3" l="1"/>
  <c r="C68" i="3"/>
  <c r="C30" i="3"/>
  <c r="C39" i="3" s="1"/>
  <c r="C53" i="3" l="1"/>
  <c r="C52" i="3"/>
  <c r="C40" i="3"/>
  <c r="C41" i="3"/>
  <c r="C42" i="3"/>
  <c r="C45" i="3" l="1"/>
  <c r="C63" i="3" l="1"/>
  <c r="G63" i="3" l="1"/>
  <c r="A2" i="3"/>
  <c r="A1" i="3"/>
  <c r="A1" i="26"/>
  <c r="A2" i="26"/>
  <c r="G74" i="3" l="1"/>
  <c r="C10" i="23"/>
  <c r="C10" i="5"/>
  <c r="G42" i="3"/>
  <c r="C10" i="6" l="1"/>
  <c r="C64" i="3" l="1"/>
  <c r="C62" i="3"/>
  <c r="C61" i="3"/>
  <c r="C58" i="3"/>
  <c r="C59" i="3" s="1"/>
  <c r="C60" i="3" l="1"/>
  <c r="A4" i="26" l="1"/>
  <c r="A3" i="26"/>
  <c r="A4" i="1"/>
  <c r="E76" i="3"/>
  <c r="B76" i="3"/>
  <c r="G38" i="3"/>
  <c r="G51" i="3"/>
  <c r="C51" i="3"/>
  <c r="C38" i="3"/>
  <c r="B34" i="23"/>
  <c r="I34" i="23" s="1"/>
  <c r="A89" i="23"/>
  <c r="A54" i="23"/>
  <c r="A55" i="23"/>
  <c r="A56" i="23"/>
  <c r="A57" i="23"/>
  <c r="A59" i="23"/>
  <c r="A60" i="23"/>
  <c r="A61" i="23"/>
  <c r="A62" i="23"/>
  <c r="A63" i="23"/>
  <c r="A64" i="23"/>
  <c r="A66" i="23"/>
  <c r="A67" i="23"/>
  <c r="A68" i="23"/>
  <c r="A69" i="23"/>
  <c r="A70" i="23"/>
  <c r="A71" i="23"/>
  <c r="A73" i="23"/>
  <c r="A74" i="23"/>
  <c r="A75" i="23"/>
  <c r="A76" i="23"/>
  <c r="A77" i="23"/>
  <c r="A78" i="23"/>
  <c r="A80" i="23"/>
  <c r="A81" i="23"/>
  <c r="A86" i="23"/>
  <c r="A53" i="23"/>
  <c r="B33" i="23"/>
  <c r="AM33" i="23" s="1"/>
  <c r="K30" i="23"/>
  <c r="J30" i="23"/>
  <c r="I30" i="23"/>
  <c r="H30" i="23"/>
  <c r="G30" i="23"/>
  <c r="K21" i="23"/>
  <c r="J21" i="23"/>
  <c r="I21" i="23"/>
  <c r="H21" i="23"/>
  <c r="G21" i="23"/>
  <c r="K20" i="23"/>
  <c r="J20" i="23"/>
  <c r="I20" i="23"/>
  <c r="H20" i="23"/>
  <c r="G20" i="23"/>
  <c r="K19" i="23"/>
  <c r="J19" i="23"/>
  <c r="I19" i="23"/>
  <c r="H19" i="23"/>
  <c r="G19" i="23"/>
  <c r="AP2" i="23"/>
  <c r="AP20" i="23" s="1"/>
  <c r="AO2" i="23"/>
  <c r="AO21" i="23" s="1"/>
  <c r="AN2" i="23"/>
  <c r="AN30" i="23" s="1"/>
  <c r="AM2" i="23"/>
  <c r="AM19" i="23" s="1"/>
  <c r="AL2" i="23"/>
  <c r="AL20" i="23" s="1"/>
  <c r="AK2" i="23"/>
  <c r="AK21" i="23" s="1"/>
  <c r="AJ2" i="23"/>
  <c r="AJ30" i="23" s="1"/>
  <c r="AI2" i="23"/>
  <c r="AI20" i="23" s="1"/>
  <c r="AH2" i="23"/>
  <c r="AH20" i="23" s="1"/>
  <c r="AG2" i="23"/>
  <c r="AG30" i="23" s="1"/>
  <c r="AF2" i="23"/>
  <c r="AF30" i="23" s="1"/>
  <c r="AE2" i="23"/>
  <c r="AE19" i="23" s="1"/>
  <c r="AD2" i="23"/>
  <c r="AD30" i="23" s="1"/>
  <c r="AC2" i="23"/>
  <c r="AC30" i="23" s="1"/>
  <c r="AB2" i="23"/>
  <c r="AB30" i="23" s="1"/>
  <c r="AA2" i="23"/>
  <c r="AA19" i="23" s="1"/>
  <c r="Z2" i="23"/>
  <c r="Z20" i="23" s="1"/>
  <c r="Y2" i="23"/>
  <c r="Y30" i="23" s="1"/>
  <c r="X2" i="23"/>
  <c r="X30" i="23" s="1"/>
  <c r="W2" i="23"/>
  <c r="W19" i="23" s="1"/>
  <c r="V2" i="23"/>
  <c r="V20" i="23" s="1"/>
  <c r="U2" i="23"/>
  <c r="U19" i="23" s="1"/>
  <c r="T2" i="23"/>
  <c r="T30" i="23" s="1"/>
  <c r="S2" i="23"/>
  <c r="S19" i="23" s="1"/>
  <c r="R2" i="23"/>
  <c r="R20" i="23" s="1"/>
  <c r="Q2" i="23"/>
  <c r="Q30" i="23" s="1"/>
  <c r="P2" i="23"/>
  <c r="P30" i="23" s="1"/>
  <c r="O2" i="23"/>
  <c r="O19" i="23" s="1"/>
  <c r="N2" i="23"/>
  <c r="N30" i="23" s="1"/>
  <c r="M2" i="23"/>
  <c r="M19" i="23" s="1"/>
  <c r="L2" i="23"/>
  <c r="L20" i="23" s="1"/>
  <c r="H6" i="6"/>
  <c r="I6" i="6"/>
  <c r="J6" i="6"/>
  <c r="K6" i="6"/>
  <c r="H7" i="6"/>
  <c r="I7" i="6"/>
  <c r="J7" i="6"/>
  <c r="K7" i="6"/>
  <c r="H8" i="6"/>
  <c r="I8" i="6"/>
  <c r="J8" i="6"/>
  <c r="K8" i="6"/>
  <c r="H9" i="6"/>
  <c r="I9" i="6"/>
  <c r="J9" i="6"/>
  <c r="K9" i="6"/>
  <c r="H11" i="6"/>
  <c r="I11" i="6"/>
  <c r="J11" i="6"/>
  <c r="K11" i="6"/>
  <c r="H12" i="6"/>
  <c r="I12" i="6"/>
  <c r="J12" i="6"/>
  <c r="K12" i="6"/>
  <c r="H13" i="6"/>
  <c r="I13" i="6"/>
  <c r="J13" i="6"/>
  <c r="K13" i="6"/>
  <c r="H14" i="6"/>
  <c r="I14" i="6"/>
  <c r="J14" i="6"/>
  <c r="K14" i="6"/>
  <c r="H15" i="6"/>
  <c r="I15" i="6"/>
  <c r="J15" i="6"/>
  <c r="K15" i="6"/>
  <c r="G7" i="6"/>
  <c r="G8" i="6"/>
  <c r="G9" i="6"/>
  <c r="G11" i="6"/>
  <c r="G12" i="6"/>
  <c r="G13" i="6"/>
  <c r="G14" i="6"/>
  <c r="G15" i="6"/>
  <c r="G6" i="6"/>
  <c r="A2" i="1"/>
  <c r="A1" i="1"/>
  <c r="B4" i="3"/>
  <c r="B33" i="6"/>
  <c r="N33" i="6" s="1"/>
  <c r="K30" i="6"/>
  <c r="J30" i="6"/>
  <c r="I30" i="6"/>
  <c r="H30" i="6"/>
  <c r="G30" i="6"/>
  <c r="K21" i="6"/>
  <c r="J21" i="6"/>
  <c r="I21" i="6"/>
  <c r="H21" i="6"/>
  <c r="G21" i="6"/>
  <c r="K20" i="6"/>
  <c r="J20" i="6"/>
  <c r="I20" i="6"/>
  <c r="H20" i="6"/>
  <c r="G20" i="6"/>
  <c r="K19" i="6"/>
  <c r="J19" i="6"/>
  <c r="I19" i="6"/>
  <c r="H19" i="6"/>
  <c r="G19" i="6"/>
  <c r="AP2" i="6"/>
  <c r="AP30" i="6" s="1"/>
  <c r="AO2" i="6"/>
  <c r="AO30" i="6" s="1"/>
  <c r="AN2" i="6"/>
  <c r="AM2" i="6"/>
  <c r="AL2" i="6"/>
  <c r="AL30" i="6" s="1"/>
  <c r="AK2" i="6"/>
  <c r="AK20" i="6" s="1"/>
  <c r="AJ2" i="6"/>
  <c r="AI2" i="6"/>
  <c r="AI20" i="6" s="1"/>
  <c r="AH2" i="6"/>
  <c r="AH21" i="6" s="1"/>
  <c r="AG2" i="6"/>
  <c r="AG19" i="6" s="1"/>
  <c r="AF2" i="6"/>
  <c r="AE2" i="6"/>
  <c r="AE20" i="6" s="1"/>
  <c r="AD2" i="6"/>
  <c r="AD21" i="6" s="1"/>
  <c r="AC2" i="6"/>
  <c r="AC30" i="6" s="1"/>
  <c r="AB2" i="6"/>
  <c r="AA2" i="6"/>
  <c r="AA30" i="6" s="1"/>
  <c r="Z2" i="6"/>
  <c r="Y2" i="6"/>
  <c r="X2" i="6"/>
  <c r="X30" i="6" s="1"/>
  <c r="W2" i="6"/>
  <c r="V2" i="6"/>
  <c r="V30" i="6" s="1"/>
  <c r="U2" i="6"/>
  <c r="U21" i="6" s="1"/>
  <c r="T2" i="6"/>
  <c r="S2" i="6"/>
  <c r="R2" i="6"/>
  <c r="Q2" i="6"/>
  <c r="Q21" i="6" s="1"/>
  <c r="P2" i="6"/>
  <c r="P30" i="6" s="1"/>
  <c r="O2" i="6"/>
  <c r="O21" i="6" s="1"/>
  <c r="N2" i="6"/>
  <c r="N19" i="6" s="1"/>
  <c r="M2" i="6"/>
  <c r="M19" i="6" s="1"/>
  <c r="L2" i="6"/>
  <c r="L19" i="6" s="1"/>
  <c r="B33" i="5"/>
  <c r="H33" i="5" s="1"/>
  <c r="K30" i="5"/>
  <c r="J30" i="5"/>
  <c r="I30" i="5"/>
  <c r="H30" i="5"/>
  <c r="G30" i="5"/>
  <c r="K21" i="5"/>
  <c r="J21" i="5"/>
  <c r="I21" i="5"/>
  <c r="H21" i="5"/>
  <c r="G21" i="5"/>
  <c r="K20" i="5"/>
  <c r="J20" i="5"/>
  <c r="I20" i="5"/>
  <c r="H20" i="5"/>
  <c r="G20" i="5"/>
  <c r="K19" i="5"/>
  <c r="J19" i="5"/>
  <c r="I19" i="5"/>
  <c r="H19" i="5"/>
  <c r="G19" i="5"/>
  <c r="AP2" i="5"/>
  <c r="AP20" i="5" s="1"/>
  <c r="AO2" i="5"/>
  <c r="AO19" i="5" s="1"/>
  <c r="AN2" i="5"/>
  <c r="AN19" i="5" s="1"/>
  <c r="AM2" i="5"/>
  <c r="AM20" i="5" s="1"/>
  <c r="AL2" i="5"/>
  <c r="AL19" i="5" s="1"/>
  <c r="AK2" i="5"/>
  <c r="AK19" i="5" s="1"/>
  <c r="AJ2" i="5"/>
  <c r="AI2" i="5"/>
  <c r="AH2" i="5"/>
  <c r="AH20" i="5" s="1"/>
  <c r="AG2" i="5"/>
  <c r="AG30" i="5" s="1"/>
  <c r="AF2" i="5"/>
  <c r="AF20" i="5" s="1"/>
  <c r="AE2" i="5"/>
  <c r="AE20" i="5" s="1"/>
  <c r="AD2" i="5"/>
  <c r="AD21" i="5" s="1"/>
  <c r="AC2" i="5"/>
  <c r="AC20" i="5" s="1"/>
  <c r="AB2" i="5"/>
  <c r="AB19" i="5" s="1"/>
  <c r="AA2" i="5"/>
  <c r="AA19" i="5" s="1"/>
  <c r="Z2" i="5"/>
  <c r="Z20" i="5" s="1"/>
  <c r="Y2" i="5"/>
  <c r="X2" i="5"/>
  <c r="X30" i="5" s="1"/>
  <c r="W2" i="5"/>
  <c r="V2" i="5"/>
  <c r="V21" i="5" s="1"/>
  <c r="U2" i="5"/>
  <c r="U21" i="5" s="1"/>
  <c r="T2" i="5"/>
  <c r="T30" i="5" s="1"/>
  <c r="S2" i="5"/>
  <c r="S21" i="5" s="1"/>
  <c r="R2" i="5"/>
  <c r="R19" i="5" s="1"/>
  <c r="Q2" i="5"/>
  <c r="Q20" i="5" s="1"/>
  <c r="P2" i="5"/>
  <c r="P30" i="5" s="1"/>
  <c r="O2" i="5"/>
  <c r="O19" i="5" s="1"/>
  <c r="N2" i="5"/>
  <c r="N21" i="5" s="1"/>
  <c r="M2" i="5"/>
  <c r="M30" i="5" s="1"/>
  <c r="L2" i="5"/>
  <c r="L19" i="5" s="1"/>
  <c r="B3" i="3"/>
  <c r="A3" i="1"/>
  <c r="C46" i="3" l="1"/>
  <c r="H34" i="23"/>
  <c r="J34" i="23"/>
  <c r="AM30" i="23"/>
  <c r="AM21" i="23"/>
  <c r="AI21" i="6"/>
  <c r="A84" i="23"/>
  <c r="V30" i="23"/>
  <c r="AM33" i="6"/>
  <c r="O20" i="5"/>
  <c r="AK33" i="6"/>
  <c r="AF33" i="5"/>
  <c r="V3" i="23"/>
  <c r="S19" i="5"/>
  <c r="U30" i="23"/>
  <c r="AL19" i="6"/>
  <c r="M30" i="23"/>
  <c r="AL30" i="5"/>
  <c r="M20" i="23"/>
  <c r="AL21" i="6"/>
  <c r="U20" i="23"/>
  <c r="AD30" i="6"/>
  <c r="U21" i="23"/>
  <c r="AL20" i="6"/>
  <c r="AD19" i="6"/>
  <c r="AC20" i="23"/>
  <c r="AD20" i="6"/>
  <c r="AC21" i="23"/>
  <c r="AJ21" i="23"/>
  <c r="AI33" i="6"/>
  <c r="V19" i="23"/>
  <c r="O20" i="6"/>
  <c r="AA21" i="5"/>
  <c r="O19" i="6"/>
  <c r="AK30" i="5"/>
  <c r="O3" i="5"/>
  <c r="P3" i="6"/>
  <c r="AL20" i="5"/>
  <c r="AA30" i="5"/>
  <c r="V30" i="5"/>
  <c r="I33" i="5"/>
  <c r="W33" i="5"/>
  <c r="T19" i="6"/>
  <c r="V20" i="5"/>
  <c r="S21" i="6"/>
  <c r="N3" i="23"/>
  <c r="AF20" i="6"/>
  <c r="AP19" i="6"/>
  <c r="AC19" i="23"/>
  <c r="M21" i="23"/>
  <c r="Y20" i="23"/>
  <c r="J33" i="6"/>
  <c r="V20" i="6"/>
  <c r="AI19" i="6"/>
  <c r="W21" i="23"/>
  <c r="AM20" i="23"/>
  <c r="AO33" i="6"/>
  <c r="AB3" i="5"/>
  <c r="H33" i="6"/>
  <c r="Q30" i="5"/>
  <c r="AA20" i="6"/>
  <c r="S20" i="23"/>
  <c r="AN33" i="6"/>
  <c r="R33" i="6"/>
  <c r="T30" i="6"/>
  <c r="AA21" i="6"/>
  <c r="AM3" i="23"/>
  <c r="AM25" i="23" s="1"/>
  <c r="Q20" i="23"/>
  <c r="L20" i="6"/>
  <c r="AG19" i="23"/>
  <c r="AH33" i="6"/>
  <c r="L21" i="6"/>
  <c r="AA19" i="6"/>
  <c r="O30" i="23"/>
  <c r="AG21" i="23"/>
  <c r="K34" i="23"/>
  <c r="Q19" i="5"/>
  <c r="Z20" i="6"/>
  <c r="M33" i="6"/>
  <c r="AF33" i="6"/>
  <c r="AC33" i="6"/>
  <c r="AC30" i="5"/>
  <c r="Y20" i="5"/>
  <c r="AN19" i="23"/>
  <c r="M21" i="5"/>
  <c r="I33" i="6"/>
  <c r="AG33" i="6"/>
  <c r="Q33" i="6"/>
  <c r="AA33" i="6"/>
  <c r="U20" i="5"/>
  <c r="AO30" i="5"/>
  <c r="AG19" i="5"/>
  <c r="AL33" i="6"/>
  <c r="AJ19" i="23"/>
  <c r="AF20" i="23"/>
  <c r="AB33" i="6"/>
  <c r="Y33" i="6"/>
  <c r="S33" i="6"/>
  <c r="K33" i="6"/>
  <c r="V33" i="6"/>
  <c r="AA3" i="6"/>
  <c r="AO20" i="5"/>
  <c r="T19" i="23"/>
  <c r="X33" i="6"/>
  <c r="W33" i="6"/>
  <c r="T33" i="6"/>
  <c r="AD33" i="6"/>
  <c r="U33" i="6"/>
  <c r="AG20" i="5"/>
  <c r="AJ33" i="6"/>
  <c r="AF21" i="23"/>
  <c r="L33" i="6"/>
  <c r="O33" i="6"/>
  <c r="Q21" i="5"/>
  <c r="AE33" i="6"/>
  <c r="P21" i="23"/>
  <c r="Z33" i="6"/>
  <c r="AP33" i="6"/>
  <c r="P33" i="6"/>
  <c r="AP20" i="6"/>
  <c r="S30" i="6"/>
  <c r="AI30" i="23"/>
  <c r="Q21" i="23"/>
  <c r="AI21" i="23"/>
  <c r="AI19" i="23"/>
  <c r="S19" i="6"/>
  <c r="O21" i="5"/>
  <c r="W20" i="5"/>
  <c r="AN19" i="6"/>
  <c r="AM20" i="6"/>
  <c r="AN21" i="23"/>
  <c r="AN3" i="23"/>
  <c r="AN25" i="23" s="1"/>
  <c r="Q19" i="23"/>
  <c r="AN21" i="5"/>
  <c r="AI3" i="6"/>
  <c r="AI25" i="6" s="1"/>
  <c r="S20" i="6"/>
  <c r="AC33" i="5"/>
  <c r="AH30" i="6"/>
  <c r="AB3" i="6"/>
  <c r="AJ3" i="23"/>
  <c r="AJ25" i="23" s="1"/>
  <c r="AN20" i="23"/>
  <c r="AE21" i="5"/>
  <c r="AP21" i="6"/>
  <c r="O30" i="5"/>
  <c r="AG3" i="23"/>
  <c r="AG25" i="23" s="1"/>
  <c r="AG20" i="23"/>
  <c r="AB20" i="23"/>
  <c r="Z19" i="5"/>
  <c r="AD33" i="5"/>
  <c r="AC3" i="23"/>
  <c r="AB21" i="23"/>
  <c r="AB19" i="23"/>
  <c r="T20" i="5"/>
  <c r="O3" i="6"/>
  <c r="U30" i="5"/>
  <c r="AK20" i="5"/>
  <c r="AA21" i="23"/>
  <c r="AC19" i="6"/>
  <c r="T21" i="5"/>
  <c r="H33" i="23"/>
  <c r="AP21" i="23"/>
  <c r="O20" i="23"/>
  <c r="AC21" i="6"/>
  <c r="V3" i="6"/>
  <c r="M20" i="6"/>
  <c r="V21" i="6"/>
  <c r="AL3" i="6"/>
  <c r="AL25" i="6" s="1"/>
  <c r="AD3" i="6"/>
  <c r="N21" i="6"/>
  <c r="AC20" i="6"/>
  <c r="M21" i="6"/>
  <c r="AJ30" i="5"/>
  <c r="AC21" i="5"/>
  <c r="T3" i="23"/>
  <c r="AP30" i="23"/>
  <c r="S21" i="23"/>
  <c r="AB20" i="5"/>
  <c r="M30" i="6"/>
  <c r="AP19" i="23"/>
  <c r="T19" i="5"/>
  <c r="AL3" i="5"/>
  <c r="AL25" i="5" s="1"/>
  <c r="AK30" i="6"/>
  <c r="AC19" i="5"/>
  <c r="V19" i="6"/>
  <c r="S30" i="23"/>
  <c r="AA3" i="5"/>
  <c r="R33" i="5"/>
  <c r="R19" i="6"/>
  <c r="Z30" i="5"/>
  <c r="Y33" i="5"/>
  <c r="O33" i="23"/>
  <c r="N33" i="23"/>
  <c r="AG20" i="6"/>
  <c r="S33" i="5"/>
  <c r="Z21" i="23"/>
  <c r="R3" i="5"/>
  <c r="AP30" i="5"/>
  <c r="Z21" i="6"/>
  <c r="R30" i="6"/>
  <c r="AO33" i="5"/>
  <c r="U3" i="5"/>
  <c r="AH30" i="5"/>
  <c r="AI33" i="5"/>
  <c r="AH19" i="5"/>
  <c r="AE33" i="5"/>
  <c r="AH21" i="5"/>
  <c r="X33" i="5"/>
  <c r="Z30" i="6"/>
  <c r="M33" i="5"/>
  <c r="O33" i="5"/>
  <c r="Z30" i="23"/>
  <c r="Z19" i="6"/>
  <c r="AP21" i="5"/>
  <c r="L33" i="5"/>
  <c r="Q33" i="5"/>
  <c r="AM33" i="5"/>
  <c r="V33" i="5"/>
  <c r="R21" i="6"/>
  <c r="AP3" i="5"/>
  <c r="AP25" i="5" s="1"/>
  <c r="S3" i="6"/>
  <c r="AB33" i="5"/>
  <c r="R21" i="5"/>
  <c r="AG33" i="5"/>
  <c r="AJ33" i="5"/>
  <c r="R20" i="6"/>
  <c r="AP33" i="5"/>
  <c r="Z3" i="6"/>
  <c r="AO33" i="23"/>
  <c r="AN20" i="5"/>
  <c r="AF30" i="5"/>
  <c r="K33" i="23"/>
  <c r="AP33" i="23"/>
  <c r="J33" i="23"/>
  <c r="AH30" i="23"/>
  <c r="AG33" i="23"/>
  <c r="AF21" i="5"/>
  <c r="AL33" i="23"/>
  <c r="Y33" i="23"/>
  <c r="AK33" i="23"/>
  <c r="AE30" i="6"/>
  <c r="AF19" i="5"/>
  <c r="X19" i="6"/>
  <c r="AI33" i="23"/>
  <c r="AH33" i="23"/>
  <c r="Q33" i="23"/>
  <c r="AJ33" i="23"/>
  <c r="AC33" i="23"/>
  <c r="Q30" i="6"/>
  <c r="AE3" i="6"/>
  <c r="AE25" i="6" s="1"/>
  <c r="Q19" i="6"/>
  <c r="X20" i="6"/>
  <c r="AO3" i="5"/>
  <c r="AO25" i="5" s="1"/>
  <c r="AE33" i="23"/>
  <c r="AD33" i="23"/>
  <c r="AH19" i="23"/>
  <c r="AN33" i="23"/>
  <c r="I33" i="23"/>
  <c r="AB33" i="23"/>
  <c r="U33" i="23"/>
  <c r="R3" i="6"/>
  <c r="AM3" i="6"/>
  <c r="AM25" i="6" s="1"/>
  <c r="Q20" i="6"/>
  <c r="AA33" i="23"/>
  <c r="Z33" i="23"/>
  <c r="Z19" i="23"/>
  <c r="AH3" i="23"/>
  <c r="AH25" i="23" s="1"/>
  <c r="AF33" i="23"/>
  <c r="T33" i="23"/>
  <c r="M33" i="23"/>
  <c r="W33" i="23"/>
  <c r="V33" i="23"/>
  <c r="X33" i="23"/>
  <c r="L33" i="23"/>
  <c r="AA3" i="23"/>
  <c r="AM21" i="6"/>
  <c r="AN30" i="5"/>
  <c r="S33" i="23"/>
  <c r="R33" i="23"/>
  <c r="P33" i="23"/>
  <c r="AH21" i="23"/>
  <c r="X19" i="5"/>
  <c r="AF21" i="6"/>
  <c r="Y20" i="6"/>
  <c r="X19" i="23"/>
  <c r="L21" i="23"/>
  <c r="P3" i="23"/>
  <c r="W3" i="23"/>
  <c r="AE20" i="23"/>
  <c r="S20" i="5"/>
  <c r="U19" i="6"/>
  <c r="L21" i="5"/>
  <c r="AM30" i="5"/>
  <c r="AF30" i="6"/>
  <c r="AO3" i="23"/>
  <c r="AO25" i="23" s="1"/>
  <c r="P19" i="23"/>
  <c r="X20" i="23"/>
  <c r="T20" i="23"/>
  <c r="X20" i="5"/>
  <c r="AN20" i="6"/>
  <c r="AL19" i="23"/>
  <c r="AP3" i="23"/>
  <c r="AP25" i="23" s="1"/>
  <c r="P20" i="23"/>
  <c r="AL30" i="23"/>
  <c r="AJ19" i="6"/>
  <c r="AF3" i="6"/>
  <c r="AF25" i="6" s="1"/>
  <c r="T3" i="5"/>
  <c r="Y3" i="6"/>
  <c r="U3" i="23"/>
  <c r="L19" i="23"/>
  <c r="AO20" i="23"/>
  <c r="AJ20" i="23"/>
  <c r="AC3" i="5"/>
  <c r="AB30" i="5"/>
  <c r="AB21" i="5"/>
  <c r="U19" i="5"/>
  <c r="P20" i="6"/>
  <c r="W21" i="5"/>
  <c r="Q3" i="23"/>
  <c r="AE30" i="23"/>
  <c r="X21" i="23"/>
  <c r="AF3" i="23"/>
  <c r="AF25" i="23" s="1"/>
  <c r="AO30" i="23"/>
  <c r="AE21" i="23"/>
  <c r="AL21" i="23"/>
  <c r="AA20" i="23"/>
  <c r="S30" i="5"/>
  <c r="AN30" i="6"/>
  <c r="AJ3" i="6"/>
  <c r="AJ25" i="6" s="1"/>
  <c r="X21" i="5"/>
  <c r="L20" i="5"/>
  <c r="U30" i="6"/>
  <c r="M3" i="23"/>
  <c r="AA30" i="23"/>
  <c r="T21" i="23"/>
  <c r="AB3" i="23"/>
  <c r="AO19" i="23"/>
  <c r="V21" i="23"/>
  <c r="AK3" i="5"/>
  <c r="AK25" i="5" s="1"/>
  <c r="P3" i="5"/>
  <c r="AE19" i="5"/>
  <c r="Y21" i="23"/>
  <c r="S3" i="23"/>
  <c r="W19" i="6"/>
  <c r="W20" i="6"/>
  <c r="AP3" i="6"/>
  <c r="AP25" i="6" s="1"/>
  <c r="M20" i="5"/>
  <c r="Y21" i="5"/>
  <c r="Y21" i="6"/>
  <c r="Y3" i="23"/>
  <c r="Y19" i="23"/>
  <c r="R30" i="23"/>
  <c r="X3" i="6"/>
  <c r="Y3" i="5"/>
  <c r="AH19" i="6"/>
  <c r="AD19" i="23"/>
  <c r="AO20" i="6"/>
  <c r="N19" i="5"/>
  <c r="AD3" i="23"/>
  <c r="AB20" i="6"/>
  <c r="AJ19" i="5"/>
  <c r="P19" i="5"/>
  <c r="P21" i="5"/>
  <c r="AD30" i="5"/>
  <c r="Y30" i="5"/>
  <c r="Z3" i="23"/>
  <c r="W30" i="6"/>
  <c r="W3" i="6"/>
  <c r="AH3" i="6"/>
  <c r="AH25" i="6" s="1"/>
  <c r="W21" i="6"/>
  <c r="AJ21" i="5"/>
  <c r="AH20" i="6"/>
  <c r="Q3" i="5"/>
  <c r="AO21" i="6"/>
  <c r="R19" i="23"/>
  <c r="AL3" i="23"/>
  <c r="AL25" i="23" s="1"/>
  <c r="R21" i="23"/>
  <c r="AB21" i="6"/>
  <c r="AJ20" i="5"/>
  <c r="P20" i="5"/>
  <c r="AD3" i="5"/>
  <c r="Y19" i="5"/>
  <c r="R3" i="23"/>
  <c r="AD21" i="23"/>
  <c r="AD20" i="23"/>
  <c r="AI30" i="5"/>
  <c r="AM21" i="5"/>
  <c r="L30" i="6"/>
  <c r="P19" i="6"/>
  <c r="AK21" i="6"/>
  <c r="L30" i="23"/>
  <c r="AO3" i="6"/>
  <c r="AO25" i="6" s="1"/>
  <c r="P21" i="6"/>
  <c r="AM19" i="5"/>
  <c r="Q3" i="6"/>
  <c r="AN3" i="6"/>
  <c r="AN25" i="6" s="1"/>
  <c r="N30" i="6"/>
  <c r="AE19" i="6"/>
  <c r="AK19" i="6"/>
  <c r="AB30" i="6"/>
  <c r="AN33" i="5"/>
  <c r="AE3" i="5"/>
  <c r="AE25" i="5" s="1"/>
  <c r="AF3" i="5"/>
  <c r="AF25" i="5" s="1"/>
  <c r="X3" i="5"/>
  <c r="T3" i="6"/>
  <c r="U33" i="5"/>
  <c r="AP19" i="5"/>
  <c r="Z33" i="5"/>
  <c r="AI19" i="5"/>
  <c r="AK21" i="5"/>
  <c r="AE30" i="5"/>
  <c r="AF19" i="6"/>
  <c r="R20" i="5"/>
  <c r="AO21" i="5"/>
  <c r="AG3" i="5"/>
  <c r="AG25" i="5" s="1"/>
  <c r="T33" i="5"/>
  <c r="AK3" i="23"/>
  <c r="AK25" i="23" s="1"/>
  <c r="AK19" i="23"/>
  <c r="AK30" i="23"/>
  <c r="N21" i="23"/>
  <c r="W20" i="23"/>
  <c r="AG3" i="6"/>
  <c r="AG25" i="6" s="1"/>
  <c r="AD19" i="5"/>
  <c r="X21" i="6"/>
  <c r="AI3" i="5"/>
  <c r="AI25" i="5" s="1"/>
  <c r="AG21" i="6"/>
  <c r="N20" i="6"/>
  <c r="AJ3" i="5"/>
  <c r="AJ25" i="5" s="1"/>
  <c r="T20" i="6"/>
  <c r="O30" i="6"/>
  <c r="AM30" i="6"/>
  <c r="AJ20" i="6"/>
  <c r="AM19" i="6"/>
  <c r="U20" i="6"/>
  <c r="AL21" i="5"/>
  <c r="N33" i="5"/>
  <c r="N3" i="6"/>
  <c r="S3" i="5"/>
  <c r="AD20" i="5"/>
  <c r="AK33" i="5"/>
  <c r="Z21" i="5"/>
  <c r="AN3" i="5"/>
  <c r="AN25" i="5" s="1"/>
  <c r="AA20" i="5"/>
  <c r="W19" i="5"/>
  <c r="W30" i="5"/>
  <c r="AN21" i="6"/>
  <c r="AL33" i="5"/>
  <c r="L30" i="5"/>
  <c r="AG21" i="5"/>
  <c r="AE21" i="6"/>
  <c r="AI30" i="6"/>
  <c r="AF19" i="23"/>
  <c r="W30" i="23"/>
  <c r="X3" i="23"/>
  <c r="AK20" i="23"/>
  <c r="N20" i="23"/>
  <c r="AO19" i="6"/>
  <c r="M3" i="6"/>
  <c r="Y19" i="6"/>
  <c r="Y30" i="6"/>
  <c r="Z3" i="5"/>
  <c r="T21" i="6"/>
  <c r="N30" i="5"/>
  <c r="N3" i="5"/>
  <c r="N20" i="5"/>
  <c r="M3" i="5"/>
  <c r="AI20" i="5"/>
  <c r="AJ21" i="6"/>
  <c r="AG30" i="6"/>
  <c r="AK3" i="6"/>
  <c r="AK25" i="6" s="1"/>
  <c r="AB19" i="6"/>
  <c r="U3" i="6"/>
  <c r="AC3" i="6"/>
  <c r="AH3" i="5"/>
  <c r="AH25" i="5" s="1"/>
  <c r="K33" i="5"/>
  <c r="AH33" i="5"/>
  <c r="V19" i="5"/>
  <c r="AM3" i="5"/>
  <c r="AM25" i="5" s="1"/>
  <c r="AA33" i="5"/>
  <c r="AI21" i="5"/>
  <c r="M19" i="5"/>
  <c r="P33" i="5"/>
  <c r="J33" i="5"/>
  <c r="AJ30" i="6"/>
  <c r="N19" i="23"/>
  <c r="O21" i="23"/>
  <c r="AE3" i="23"/>
  <c r="AE25" i="23" s="1"/>
  <c r="AI3" i="23"/>
  <c r="AI25" i="23" s="1"/>
  <c r="R30" i="5"/>
  <c r="V3" i="5"/>
  <c r="W3" i="5"/>
  <c r="O3" i="23"/>
  <c r="C54" i="3" l="1"/>
  <c r="O79" i="23"/>
  <c r="W79" i="23"/>
  <c r="AE79" i="23"/>
  <c r="AM79" i="23"/>
  <c r="V79" i="23"/>
  <c r="P79" i="23"/>
  <c r="X79" i="23"/>
  <c r="AF79" i="23"/>
  <c r="AN79" i="23"/>
  <c r="Q79" i="23"/>
  <c r="Y79" i="23"/>
  <c r="AG79" i="23"/>
  <c r="AO79" i="23"/>
  <c r="AI79" i="23"/>
  <c r="R79" i="23"/>
  <c r="Z79" i="23"/>
  <c r="AH79" i="23"/>
  <c r="AP79" i="23"/>
  <c r="L79" i="23"/>
  <c r="S79" i="23"/>
  <c r="AD79" i="23"/>
  <c r="AA79" i="23"/>
  <c r="N79" i="23"/>
  <c r="AL79" i="23"/>
  <c r="T79" i="23"/>
  <c r="AB79" i="23"/>
  <c r="AJ79" i="23"/>
  <c r="U79" i="23"/>
  <c r="AK79" i="23"/>
  <c r="M79" i="23"/>
  <c r="AC79" i="23"/>
  <c r="G60" i="3"/>
  <c r="Q76" i="23" s="1"/>
  <c r="G58" i="3"/>
  <c r="G39" i="3"/>
  <c r="G61" i="3"/>
  <c r="M77" i="23" s="1"/>
  <c r="G64" i="3"/>
  <c r="Y80" i="23" s="1"/>
  <c r="C65" i="3"/>
  <c r="C6" i="23"/>
  <c r="N47" i="23" s="1"/>
  <c r="C6" i="5"/>
  <c r="C7" i="5"/>
  <c r="G53" i="3"/>
  <c r="C13" i="23"/>
  <c r="C13" i="5"/>
  <c r="G40" i="3"/>
  <c r="C7" i="23"/>
  <c r="G45" i="3"/>
  <c r="C20" i="23"/>
  <c r="C20" i="5"/>
  <c r="G62" i="3"/>
  <c r="U78" i="23" s="1"/>
  <c r="C20" i="6" l="1"/>
  <c r="L74" i="23"/>
  <c r="G59" i="3"/>
  <c r="C43" i="3"/>
  <c r="Y77" i="23"/>
  <c r="AH77" i="23"/>
  <c r="AP77" i="23"/>
  <c r="AB77" i="23"/>
  <c r="P76" i="23"/>
  <c r="W80" i="23"/>
  <c r="O80" i="23"/>
  <c r="R77" i="23"/>
  <c r="V80" i="23"/>
  <c r="AE77" i="23"/>
  <c r="AL77" i="23"/>
  <c r="X80" i="23"/>
  <c r="AG77" i="23"/>
  <c r="S80" i="23"/>
  <c r="AE76" i="23"/>
  <c r="AF77" i="23"/>
  <c r="AA77" i="23"/>
  <c r="L78" i="23"/>
  <c r="R78" i="23"/>
  <c r="N76" i="23"/>
  <c r="Y78" i="23"/>
  <c r="AB80" i="23"/>
  <c r="X78" i="23"/>
  <c r="T76" i="23"/>
  <c r="AI80" i="23"/>
  <c r="AE78" i="23"/>
  <c r="AA76" i="23"/>
  <c r="Z80" i="23"/>
  <c r="N78" i="23"/>
  <c r="AN80" i="23"/>
  <c r="Q80" i="23"/>
  <c r="M78" i="23"/>
  <c r="AM76" i="23"/>
  <c r="N80" i="23"/>
  <c r="AN77" i="23"/>
  <c r="Q78" i="23"/>
  <c r="AN76" i="23"/>
  <c r="T80" i="23"/>
  <c r="P78" i="23"/>
  <c r="AF80" i="23"/>
  <c r="AA80" i="23"/>
  <c r="W78" i="23"/>
  <c r="S76" i="23"/>
  <c r="AJ77" i="23"/>
  <c r="AI77" i="23"/>
  <c r="O78" i="23"/>
  <c r="W76" i="23"/>
  <c r="AA78" i="23"/>
  <c r="X77" i="23"/>
  <c r="T78" i="23"/>
  <c r="O77" i="23"/>
  <c r="M80" i="23"/>
  <c r="AD77" i="23"/>
  <c r="AE80" i="23"/>
  <c r="AK77" i="23"/>
  <c r="Z77" i="23"/>
  <c r="T77" i="23"/>
  <c r="U80" i="23"/>
  <c r="S77" i="23"/>
  <c r="AI78" i="23"/>
  <c r="O76" i="23"/>
  <c r="Q77" i="23"/>
  <c r="P77" i="23"/>
  <c r="X76" i="23"/>
  <c r="AK76" i="23"/>
  <c r="V77" i="23"/>
  <c r="AC77" i="23"/>
  <c r="AM80" i="23"/>
  <c r="AP76" i="23"/>
  <c r="R80" i="23"/>
  <c r="AO76" i="23"/>
  <c r="L76" i="23"/>
  <c r="S78" i="23"/>
  <c r="P80" i="23"/>
  <c r="L77" i="23"/>
  <c r="AP78" i="23"/>
  <c r="AL76" i="23"/>
  <c r="AC80" i="23"/>
  <c r="AC76" i="23"/>
  <c r="W77" i="23"/>
  <c r="N77" i="23"/>
  <c r="AO78" i="23"/>
  <c r="U77" i="23"/>
  <c r="AK80" i="23"/>
  <c r="AL78" i="23"/>
  <c r="AH76" i="23"/>
  <c r="AO80" i="23"/>
  <c r="AK78" i="23"/>
  <c r="AG76" i="23"/>
  <c r="AJ78" i="23"/>
  <c r="AO77" i="23"/>
  <c r="AB78" i="23"/>
  <c r="AL80" i="23"/>
  <c r="AH78" i="23"/>
  <c r="AD76" i="23"/>
  <c r="U76" i="23"/>
  <c r="AN78" i="23"/>
  <c r="AJ76" i="23"/>
  <c r="AM77" i="23"/>
  <c r="AP80" i="23"/>
  <c r="AD78" i="23"/>
  <c r="Z76" i="23"/>
  <c r="AG80" i="23"/>
  <c r="AC78" i="23"/>
  <c r="Y76" i="23"/>
  <c r="N81" i="23"/>
  <c r="V81" i="23"/>
  <c r="AD81" i="23"/>
  <c r="AL81" i="23"/>
  <c r="O74" i="23"/>
  <c r="W74" i="23"/>
  <c r="AE74" i="23"/>
  <c r="AM74" i="23"/>
  <c r="M81" i="23"/>
  <c r="O81" i="23"/>
  <c r="W81" i="23"/>
  <c r="AE81" i="23"/>
  <c r="AM81" i="23"/>
  <c r="P74" i="23"/>
  <c r="X74" i="23"/>
  <c r="AF74" i="23"/>
  <c r="AN74" i="23"/>
  <c r="AC81" i="23"/>
  <c r="P81" i="23"/>
  <c r="X81" i="23"/>
  <c r="AF81" i="23"/>
  <c r="AN81" i="23"/>
  <c r="Q74" i="23"/>
  <c r="Y74" i="23"/>
  <c r="AG74" i="23"/>
  <c r="AO74" i="23"/>
  <c r="U81" i="23"/>
  <c r="Q81" i="23"/>
  <c r="Y81" i="23"/>
  <c r="AG81" i="23"/>
  <c r="AO81" i="23"/>
  <c r="R74" i="23"/>
  <c r="Z74" i="23"/>
  <c r="AH74" i="23"/>
  <c r="AP74" i="23"/>
  <c r="AK81" i="23"/>
  <c r="R81" i="23"/>
  <c r="Z81" i="23"/>
  <c r="AH81" i="23"/>
  <c r="AP81" i="23"/>
  <c r="S74" i="23"/>
  <c r="AA74" i="23"/>
  <c r="AI74" i="23"/>
  <c r="G65" i="3"/>
  <c r="N74" i="23"/>
  <c r="S81" i="23"/>
  <c r="AA81" i="23"/>
  <c r="AI81" i="23"/>
  <c r="L81" i="23"/>
  <c r="T74" i="23"/>
  <c r="AB74" i="23"/>
  <c r="AJ74" i="23"/>
  <c r="V74" i="23"/>
  <c r="AL74" i="23"/>
  <c r="T81" i="23"/>
  <c r="AB81" i="23"/>
  <c r="AJ81" i="23"/>
  <c r="M74" i="23"/>
  <c r="U74" i="23"/>
  <c r="AC74" i="23"/>
  <c r="AK74" i="23"/>
  <c r="AD74" i="23"/>
  <c r="AF76" i="23"/>
  <c r="AD80" i="23"/>
  <c r="Z78" i="23"/>
  <c r="V76" i="23"/>
  <c r="AG78" i="23"/>
  <c r="M76" i="23"/>
  <c r="AJ80" i="23"/>
  <c r="AF78" i="23"/>
  <c r="AB76" i="23"/>
  <c r="L80" i="23"/>
  <c r="AM78" i="23"/>
  <c r="AI76" i="23"/>
  <c r="AH80" i="23"/>
  <c r="V78" i="23"/>
  <c r="R76" i="23"/>
  <c r="C19" i="23"/>
  <c r="C14" i="5"/>
  <c r="G46" i="3"/>
  <c r="C14" i="23"/>
  <c r="C55" i="3"/>
  <c r="C19" i="5"/>
  <c r="G54" i="3"/>
  <c r="C21" i="5"/>
  <c r="C21" i="23"/>
  <c r="G52" i="3"/>
  <c r="C7" i="6"/>
  <c r="C13" i="6"/>
  <c r="C66" i="3"/>
  <c r="G41" i="3"/>
  <c r="C9" i="23"/>
  <c r="C9" i="5"/>
  <c r="C6" i="6"/>
  <c r="C29" i="23"/>
  <c r="G29" i="23" s="1"/>
  <c r="C29" i="5"/>
  <c r="AE22" i="5" l="1"/>
  <c r="AE37" i="5" s="1"/>
  <c r="O22" i="5"/>
  <c r="O37" i="5" s="1"/>
  <c r="AM22" i="5"/>
  <c r="AM37" i="5" s="1"/>
  <c r="AD22" i="5"/>
  <c r="AD37" i="5" s="1"/>
  <c r="V22" i="5"/>
  <c r="V37" i="5" s="1"/>
  <c r="N22" i="5"/>
  <c r="N37" i="5" s="1"/>
  <c r="AC22" i="5"/>
  <c r="AC37" i="5" s="1"/>
  <c r="U22" i="5"/>
  <c r="U37" i="5" s="1"/>
  <c r="M22" i="5"/>
  <c r="M37" i="5" s="1"/>
  <c r="AK22" i="5"/>
  <c r="AK37" i="5" s="1"/>
  <c r="AB22" i="5"/>
  <c r="AB37" i="5" s="1"/>
  <c r="T22" i="5"/>
  <c r="T37" i="5" s="1"/>
  <c r="L22" i="5"/>
  <c r="L37" i="5" s="1"/>
  <c r="AJ22" i="5"/>
  <c r="AJ37" i="5" s="1"/>
  <c r="AI22" i="5"/>
  <c r="AI37" i="5" s="1"/>
  <c r="AA22" i="5"/>
  <c r="AA37" i="5" s="1"/>
  <c r="S22" i="5"/>
  <c r="S37" i="5" s="1"/>
  <c r="K22" i="5"/>
  <c r="K37" i="5" s="1"/>
  <c r="AH22" i="5"/>
  <c r="AH37" i="5" s="1"/>
  <c r="Z22" i="5"/>
  <c r="Z37" i="5" s="1"/>
  <c r="R22" i="5"/>
  <c r="R37" i="5" s="1"/>
  <c r="J22" i="5"/>
  <c r="J37" i="5" s="1"/>
  <c r="AP22" i="5"/>
  <c r="AP37" i="5" s="1"/>
  <c r="AG22" i="5"/>
  <c r="AG37" i="5" s="1"/>
  <c r="Y22" i="5"/>
  <c r="Y37" i="5" s="1"/>
  <c r="Q22" i="5"/>
  <c r="Q37" i="5" s="1"/>
  <c r="I22" i="5"/>
  <c r="I37" i="5" s="1"/>
  <c r="AO22" i="5"/>
  <c r="AO37" i="5" s="1"/>
  <c r="AF22" i="5"/>
  <c r="AF37" i="5" s="1"/>
  <c r="X22" i="5"/>
  <c r="X37" i="5" s="1"/>
  <c r="P22" i="5"/>
  <c r="P37" i="5" s="1"/>
  <c r="H22" i="5"/>
  <c r="H37" i="5" s="1"/>
  <c r="AN22" i="5"/>
  <c r="AN37" i="5" s="1"/>
  <c r="W22" i="5"/>
  <c r="W37" i="5" s="1"/>
  <c r="G22" i="5"/>
  <c r="G37" i="5" s="1"/>
  <c r="AL22" i="5"/>
  <c r="AL37" i="5" s="1"/>
  <c r="AL22" i="23"/>
  <c r="AL37" i="23" s="1"/>
  <c r="AD22" i="23"/>
  <c r="AD37" i="23" s="1"/>
  <c r="V22" i="23"/>
  <c r="V37" i="23" s="1"/>
  <c r="N22" i="23"/>
  <c r="N37" i="23" s="1"/>
  <c r="AK22" i="23"/>
  <c r="AK37" i="23" s="1"/>
  <c r="AC22" i="23"/>
  <c r="AC37" i="23" s="1"/>
  <c r="U22" i="23"/>
  <c r="U37" i="23" s="1"/>
  <c r="M22" i="23"/>
  <c r="M37" i="23" s="1"/>
  <c r="AJ22" i="23"/>
  <c r="AJ37" i="23" s="1"/>
  <c r="AB22" i="23"/>
  <c r="AB37" i="23" s="1"/>
  <c r="T22" i="23"/>
  <c r="T37" i="23" s="1"/>
  <c r="L22" i="23"/>
  <c r="L37" i="23" s="1"/>
  <c r="AI22" i="23"/>
  <c r="AI37" i="23" s="1"/>
  <c r="AA22" i="23"/>
  <c r="AA37" i="23" s="1"/>
  <c r="S22" i="23"/>
  <c r="S37" i="23" s="1"/>
  <c r="K22" i="23"/>
  <c r="K37" i="23" s="1"/>
  <c r="AP22" i="23"/>
  <c r="AP37" i="23" s="1"/>
  <c r="AH22" i="23"/>
  <c r="AH37" i="23" s="1"/>
  <c r="Z22" i="23"/>
  <c r="Z37" i="23" s="1"/>
  <c r="R22" i="23"/>
  <c r="R37" i="23" s="1"/>
  <c r="J22" i="23"/>
  <c r="J37" i="23" s="1"/>
  <c r="AO22" i="23"/>
  <c r="AO37" i="23" s="1"/>
  <c r="AG22" i="23"/>
  <c r="AG37" i="23" s="1"/>
  <c r="Y22" i="23"/>
  <c r="Y37" i="23" s="1"/>
  <c r="Q22" i="23"/>
  <c r="Q37" i="23" s="1"/>
  <c r="I22" i="23"/>
  <c r="I37" i="23" s="1"/>
  <c r="AN22" i="23"/>
  <c r="AN37" i="23" s="1"/>
  <c r="AF22" i="23"/>
  <c r="AF37" i="23" s="1"/>
  <c r="X22" i="23"/>
  <c r="X37" i="23" s="1"/>
  <c r="P22" i="23"/>
  <c r="P37" i="23" s="1"/>
  <c r="H22" i="23"/>
  <c r="H37" i="23" s="1"/>
  <c r="AM22" i="23"/>
  <c r="AM37" i="23" s="1"/>
  <c r="AE22" i="23"/>
  <c r="AE37" i="23" s="1"/>
  <c r="W22" i="23"/>
  <c r="W37" i="23" s="1"/>
  <c r="O22" i="23"/>
  <c r="O37" i="23" s="1"/>
  <c r="G22" i="23"/>
  <c r="G37" i="23" s="1"/>
  <c r="C19" i="6"/>
  <c r="C21" i="6"/>
  <c r="C44" i="3"/>
  <c r="C11" i="5"/>
  <c r="C14" i="6"/>
  <c r="C11" i="23"/>
  <c r="G43" i="3"/>
  <c r="C11" i="6" s="1"/>
  <c r="C22" i="23"/>
  <c r="B22" i="23" s="1"/>
  <c r="C22" i="5"/>
  <c r="B22" i="5" s="1"/>
  <c r="G55" i="3"/>
  <c r="K55" i="3" s="1"/>
  <c r="K65" i="3"/>
  <c r="C9" i="6"/>
  <c r="G66" i="3"/>
  <c r="C29" i="6"/>
  <c r="Z29" i="6" s="1"/>
  <c r="Z31" i="6" s="1"/>
  <c r="Z41" i="6" s="1"/>
  <c r="G31" i="23"/>
  <c r="W86" i="23"/>
  <c r="AK29" i="23"/>
  <c r="AK31" i="23" s="1"/>
  <c r="M86" i="23"/>
  <c r="J29" i="23"/>
  <c r="J31" i="23" s="1"/>
  <c r="AK86" i="23"/>
  <c r="AC86" i="23"/>
  <c r="Y86" i="23"/>
  <c r="AJ86" i="23"/>
  <c r="AF86" i="23"/>
  <c r="AO29" i="23"/>
  <c r="AO31" i="23" s="1"/>
  <c r="AM29" i="23"/>
  <c r="AM31" i="23" s="1"/>
  <c r="L29" i="23"/>
  <c r="L31" i="23" s="1"/>
  <c r="H29" i="23"/>
  <c r="H31" i="23" s="1"/>
  <c r="AE29" i="23"/>
  <c r="AE31" i="23" s="1"/>
  <c r="I29" i="23"/>
  <c r="I31" i="23" s="1"/>
  <c r="AB29" i="23"/>
  <c r="AB31" i="23" s="1"/>
  <c r="AL29" i="23"/>
  <c r="AL31" i="23" s="1"/>
  <c r="O86" i="23"/>
  <c r="W29" i="23"/>
  <c r="W31" i="23" s="1"/>
  <c r="L86" i="23"/>
  <c r="AC29" i="23"/>
  <c r="AC31" i="23" s="1"/>
  <c r="Y29" i="23"/>
  <c r="Y31" i="23" s="1"/>
  <c r="AN29" i="23"/>
  <c r="AN31" i="23" s="1"/>
  <c r="AF29" i="23"/>
  <c r="AF31" i="23" s="1"/>
  <c r="AB86" i="23"/>
  <c r="V29" i="23"/>
  <c r="V31" i="23" s="1"/>
  <c r="AE86" i="23"/>
  <c r="AA29" i="23"/>
  <c r="AA31" i="23" s="1"/>
  <c r="AG29" i="23"/>
  <c r="AG31" i="23" s="1"/>
  <c r="X29" i="23"/>
  <c r="X31" i="23" s="1"/>
  <c r="U29" i="23"/>
  <c r="U31" i="23" s="1"/>
  <c r="AN86" i="23"/>
  <c r="T86" i="23"/>
  <c r="S86" i="23"/>
  <c r="M29" i="23"/>
  <c r="M31" i="23" s="1"/>
  <c r="N86" i="23"/>
  <c r="AP29" i="23"/>
  <c r="AP31" i="23" s="1"/>
  <c r="V86" i="23"/>
  <c r="AI29" i="23"/>
  <c r="AI31" i="23" s="1"/>
  <c r="AA86" i="23"/>
  <c r="R29" i="23"/>
  <c r="R31" i="23" s="1"/>
  <c r="AO86" i="23"/>
  <c r="K29" i="23"/>
  <c r="K31" i="23" s="1"/>
  <c r="P29" i="23"/>
  <c r="P31" i="23" s="1"/>
  <c r="AH86" i="23"/>
  <c r="R86" i="23"/>
  <c r="Z29" i="23"/>
  <c r="Z31" i="23" s="1"/>
  <c r="AG86" i="23"/>
  <c r="Q86" i="23"/>
  <c r="U86" i="23"/>
  <c r="AL86" i="23"/>
  <c r="AM86" i="23"/>
  <c r="AI86" i="23"/>
  <c r="AH29" i="23"/>
  <c r="AH31" i="23" s="1"/>
  <c r="AP86" i="23"/>
  <c r="AD29" i="23"/>
  <c r="AD31" i="23" s="1"/>
  <c r="AD86" i="23"/>
  <c r="T29" i="23"/>
  <c r="T31" i="23" s="1"/>
  <c r="N29" i="23"/>
  <c r="N31" i="23" s="1"/>
  <c r="Z86" i="23"/>
  <c r="P86" i="23"/>
  <c r="X86" i="23"/>
  <c r="S29" i="23"/>
  <c r="S31" i="23" s="1"/>
  <c r="Q29" i="23"/>
  <c r="Q31" i="23" s="1"/>
  <c r="AJ29" i="23"/>
  <c r="AJ31" i="23" s="1"/>
  <c r="O29" i="23"/>
  <c r="O31" i="23" s="1"/>
  <c r="AN29" i="5"/>
  <c r="AN31" i="5" s="1"/>
  <c r="AN41" i="5" s="1"/>
  <c r="L29" i="5"/>
  <c r="L31" i="5" s="1"/>
  <c r="L41" i="5" s="1"/>
  <c r="V29" i="5"/>
  <c r="V31" i="5" s="1"/>
  <c r="V41" i="5" s="1"/>
  <c r="AH29" i="5"/>
  <c r="AH31" i="5" s="1"/>
  <c r="AH41" i="5" s="1"/>
  <c r="N29" i="5"/>
  <c r="N31" i="5" s="1"/>
  <c r="N41" i="5" s="1"/>
  <c r="AA29" i="5"/>
  <c r="AA31" i="5" s="1"/>
  <c r="AA41" i="5" s="1"/>
  <c r="AG29" i="5"/>
  <c r="AG31" i="5" s="1"/>
  <c r="AG41" i="5" s="1"/>
  <c r="I29" i="5"/>
  <c r="I31" i="5" s="1"/>
  <c r="I41" i="5" s="1"/>
  <c r="T29" i="5"/>
  <c r="T31" i="5" s="1"/>
  <c r="T41" i="5" s="1"/>
  <c r="G29" i="5"/>
  <c r="G31" i="5" s="1"/>
  <c r="AD29" i="5"/>
  <c r="AD31" i="5" s="1"/>
  <c r="AD41" i="5" s="1"/>
  <c r="W29" i="5"/>
  <c r="W31" i="5" s="1"/>
  <c r="W41" i="5" s="1"/>
  <c r="AE29" i="5"/>
  <c r="AE31" i="5" s="1"/>
  <c r="AE41" i="5" s="1"/>
  <c r="AI29" i="5"/>
  <c r="AI31" i="5" s="1"/>
  <c r="AI41" i="5" s="1"/>
  <c r="AP29" i="5"/>
  <c r="AP31" i="5" s="1"/>
  <c r="AP41" i="5" s="1"/>
  <c r="U29" i="5"/>
  <c r="U31" i="5" s="1"/>
  <c r="U41" i="5" s="1"/>
  <c r="R29" i="5"/>
  <c r="R31" i="5" s="1"/>
  <c r="R41" i="5" s="1"/>
  <c r="K29" i="5"/>
  <c r="K31" i="5" s="1"/>
  <c r="K41" i="5" s="1"/>
  <c r="H29" i="5"/>
  <c r="H31" i="5" s="1"/>
  <c r="H41" i="5" s="1"/>
  <c r="AK29" i="5"/>
  <c r="AK31" i="5" s="1"/>
  <c r="AK41" i="5" s="1"/>
  <c r="J29" i="5"/>
  <c r="J31" i="5" s="1"/>
  <c r="J41" i="5" s="1"/>
  <c r="AJ29" i="5"/>
  <c r="AJ31" i="5" s="1"/>
  <c r="AJ41" i="5" s="1"/>
  <c r="P29" i="5"/>
  <c r="P31" i="5" s="1"/>
  <c r="P41" i="5" s="1"/>
  <c r="Z29" i="5"/>
  <c r="Z31" i="5" s="1"/>
  <c r="Z41" i="5" s="1"/>
  <c r="AB29" i="5"/>
  <c r="AB31" i="5" s="1"/>
  <c r="AB41" i="5" s="1"/>
  <c r="AL29" i="5"/>
  <c r="AL31" i="5" s="1"/>
  <c r="AL41" i="5" s="1"/>
  <c r="AO29" i="5"/>
  <c r="AO31" i="5" s="1"/>
  <c r="AO41" i="5" s="1"/>
  <c r="AM29" i="5"/>
  <c r="AM31" i="5" s="1"/>
  <c r="AM41" i="5" s="1"/>
  <c r="X29" i="5"/>
  <c r="X31" i="5" s="1"/>
  <c r="X41" i="5" s="1"/>
  <c r="Y29" i="5"/>
  <c r="Y31" i="5" s="1"/>
  <c r="Y41" i="5" s="1"/>
  <c r="AC29" i="5"/>
  <c r="AC31" i="5" s="1"/>
  <c r="AC41" i="5" s="1"/>
  <c r="O29" i="5"/>
  <c r="O31" i="5" s="1"/>
  <c r="O41" i="5" s="1"/>
  <c r="AF29" i="5"/>
  <c r="AF31" i="5" s="1"/>
  <c r="AF41" i="5" s="1"/>
  <c r="Q29" i="5"/>
  <c r="Q31" i="5" s="1"/>
  <c r="Q41" i="5" s="1"/>
  <c r="S29" i="5"/>
  <c r="S31" i="5" s="1"/>
  <c r="S41" i="5" s="1"/>
  <c r="M29" i="5"/>
  <c r="M31" i="5" s="1"/>
  <c r="M41" i="5" s="1"/>
  <c r="C22" i="6" l="1"/>
  <c r="B22" i="6" s="1"/>
  <c r="AI22" i="6"/>
  <c r="AI37" i="6" s="1"/>
  <c r="S22" i="6"/>
  <c r="S37" i="6" s="1"/>
  <c r="K22" i="6"/>
  <c r="K37" i="6" s="1"/>
  <c r="AH22" i="6"/>
  <c r="AH37" i="6" s="1"/>
  <c r="Z22" i="6"/>
  <c r="Z37" i="6" s="1"/>
  <c r="R22" i="6"/>
  <c r="R37" i="6" s="1"/>
  <c r="J22" i="6"/>
  <c r="J37" i="6" s="1"/>
  <c r="AG22" i="6"/>
  <c r="AG37" i="6" s="1"/>
  <c r="Y22" i="6"/>
  <c r="Y37" i="6" s="1"/>
  <c r="Q22" i="6"/>
  <c r="Q37" i="6" s="1"/>
  <c r="I22" i="6"/>
  <c r="I37" i="6" s="1"/>
  <c r="AK22" i="6"/>
  <c r="AK37" i="6" s="1"/>
  <c r="AF22" i="6"/>
  <c r="AF37" i="6" s="1"/>
  <c r="X22" i="6"/>
  <c r="X37" i="6" s="1"/>
  <c r="P22" i="6"/>
  <c r="P37" i="6" s="1"/>
  <c r="H22" i="6"/>
  <c r="H37" i="6" s="1"/>
  <c r="AJ22" i="6"/>
  <c r="AJ37" i="6" s="1"/>
  <c r="AE22" i="6"/>
  <c r="AE37" i="6" s="1"/>
  <c r="W22" i="6"/>
  <c r="W37" i="6" s="1"/>
  <c r="O22" i="6"/>
  <c r="O37" i="6" s="1"/>
  <c r="G22" i="6"/>
  <c r="G37" i="6" s="1"/>
  <c r="AD22" i="6"/>
  <c r="AD37" i="6" s="1"/>
  <c r="V22" i="6"/>
  <c r="V37" i="6" s="1"/>
  <c r="N22" i="6"/>
  <c r="N37" i="6" s="1"/>
  <c r="AP22" i="6"/>
  <c r="AP37" i="6" s="1"/>
  <c r="AC22" i="6"/>
  <c r="AC37" i="6" s="1"/>
  <c r="U22" i="6"/>
  <c r="U37" i="6" s="1"/>
  <c r="M22" i="6"/>
  <c r="M37" i="6" s="1"/>
  <c r="AO22" i="6"/>
  <c r="AO37" i="6" s="1"/>
  <c r="AB22" i="6"/>
  <c r="AB37" i="6" s="1"/>
  <c r="T22" i="6"/>
  <c r="T37" i="6" s="1"/>
  <c r="L22" i="6"/>
  <c r="L37" i="6" s="1"/>
  <c r="AN22" i="6"/>
  <c r="AN37" i="6" s="1"/>
  <c r="AA22" i="6"/>
  <c r="AA37" i="6" s="1"/>
  <c r="AM22" i="6"/>
  <c r="AM37" i="6" s="1"/>
  <c r="AL22" i="6"/>
  <c r="AL37" i="6" s="1"/>
  <c r="C69" i="3"/>
  <c r="C26" i="5" s="1"/>
  <c r="B26" i="5" s="1"/>
  <c r="G44" i="3"/>
  <c r="C12" i="6" s="1"/>
  <c r="C12" i="23"/>
  <c r="C12" i="5"/>
  <c r="C48" i="3"/>
  <c r="AF44" i="23"/>
  <c r="B37" i="23"/>
  <c r="B37" i="5"/>
  <c r="Y29" i="6"/>
  <c r="Y31" i="6" s="1"/>
  <c r="Y41" i="6" s="1"/>
  <c r="J29" i="6"/>
  <c r="J31" i="6" s="1"/>
  <c r="J41" i="6" s="1"/>
  <c r="V29" i="6"/>
  <c r="V31" i="6" s="1"/>
  <c r="V41" i="6" s="1"/>
  <c r="N29" i="6"/>
  <c r="N31" i="6" s="1"/>
  <c r="N41" i="6" s="1"/>
  <c r="U29" i="6"/>
  <c r="U31" i="6" s="1"/>
  <c r="U41" i="6" s="1"/>
  <c r="M29" i="6"/>
  <c r="M31" i="6" s="1"/>
  <c r="M41" i="6" s="1"/>
  <c r="AI29" i="6"/>
  <c r="AI31" i="6" s="1"/>
  <c r="AI41" i="6" s="1"/>
  <c r="AL29" i="6"/>
  <c r="AL31" i="6" s="1"/>
  <c r="AL41" i="6" s="1"/>
  <c r="AA29" i="6"/>
  <c r="AA31" i="6" s="1"/>
  <c r="AA41" i="6" s="1"/>
  <c r="L29" i="6"/>
  <c r="L31" i="6" s="1"/>
  <c r="L41" i="6" s="1"/>
  <c r="AH29" i="6"/>
  <c r="AH31" i="6" s="1"/>
  <c r="AH41" i="6" s="1"/>
  <c r="AP29" i="6"/>
  <c r="AP31" i="6" s="1"/>
  <c r="AP41" i="6" s="1"/>
  <c r="T29" i="6"/>
  <c r="T31" i="6" s="1"/>
  <c r="T41" i="6" s="1"/>
  <c r="P29" i="6"/>
  <c r="P31" i="6" s="1"/>
  <c r="P41" i="6" s="1"/>
  <c r="AE29" i="6"/>
  <c r="AE31" i="6" s="1"/>
  <c r="AE41" i="6" s="1"/>
  <c r="AM29" i="6"/>
  <c r="AM31" i="6" s="1"/>
  <c r="AM41" i="6" s="1"/>
  <c r="AF29" i="6"/>
  <c r="AF31" i="6" s="1"/>
  <c r="AF41" i="6" s="1"/>
  <c r="O29" i="6"/>
  <c r="O31" i="6" s="1"/>
  <c r="O41" i="6" s="1"/>
  <c r="AN29" i="6"/>
  <c r="AN31" i="6" s="1"/>
  <c r="AN41" i="6" s="1"/>
  <c r="K29" i="6"/>
  <c r="K31" i="6" s="1"/>
  <c r="K41" i="6" s="1"/>
  <c r="AD29" i="6"/>
  <c r="AD31" i="6" s="1"/>
  <c r="AD41" i="6" s="1"/>
  <c r="AG29" i="6"/>
  <c r="AG31" i="6" s="1"/>
  <c r="AG41" i="6" s="1"/>
  <c r="AK29" i="6"/>
  <c r="AK31" i="6" s="1"/>
  <c r="AK41" i="6" s="1"/>
  <c r="X29" i="6"/>
  <c r="X31" i="6" s="1"/>
  <c r="X41" i="6" s="1"/>
  <c r="AC29" i="6"/>
  <c r="AC31" i="6" s="1"/>
  <c r="AC41" i="6" s="1"/>
  <c r="AO29" i="6"/>
  <c r="AO31" i="6" s="1"/>
  <c r="AO41" i="6" s="1"/>
  <c r="AJ29" i="6"/>
  <c r="AJ31" i="6" s="1"/>
  <c r="AJ41" i="6" s="1"/>
  <c r="R29" i="6"/>
  <c r="R31" i="6" s="1"/>
  <c r="R41" i="6" s="1"/>
  <c r="I29" i="6"/>
  <c r="I31" i="6" s="1"/>
  <c r="I41" i="6" s="1"/>
  <c r="AB29" i="6"/>
  <c r="AB31" i="6" s="1"/>
  <c r="AB41" i="6" s="1"/>
  <c r="H29" i="6"/>
  <c r="H31" i="6" s="1"/>
  <c r="H41" i="6" s="1"/>
  <c r="G29" i="6"/>
  <c r="G31" i="6" s="1"/>
  <c r="Q29" i="6"/>
  <c r="Q31" i="6" s="1"/>
  <c r="Q41" i="6" s="1"/>
  <c r="S29" i="6"/>
  <c r="S31" i="6" s="1"/>
  <c r="S41" i="6" s="1"/>
  <c r="W29" i="6"/>
  <c r="W31" i="6" s="1"/>
  <c r="W41" i="6" s="1"/>
  <c r="AH41" i="23"/>
  <c r="AH90" i="23"/>
  <c r="X90" i="23"/>
  <c r="X41" i="23"/>
  <c r="AP41" i="23"/>
  <c r="AP90" i="23"/>
  <c r="AG90" i="23"/>
  <c r="AG41" i="23"/>
  <c r="AC41" i="23"/>
  <c r="AC90" i="23"/>
  <c r="H41" i="23"/>
  <c r="H90" i="23"/>
  <c r="P90" i="23"/>
  <c r="P41" i="23"/>
  <c r="AA90" i="23"/>
  <c r="AA41" i="23"/>
  <c r="L41" i="23"/>
  <c r="L90" i="23"/>
  <c r="J90" i="23"/>
  <c r="J41" i="23"/>
  <c r="K41" i="23"/>
  <c r="K90" i="23"/>
  <c r="M90" i="23"/>
  <c r="M41" i="23"/>
  <c r="W41" i="23"/>
  <c r="W90" i="23"/>
  <c r="AM41" i="23"/>
  <c r="AM90" i="23"/>
  <c r="B31" i="5"/>
  <c r="G41" i="5"/>
  <c r="B41" i="5" s="1"/>
  <c r="N41" i="23"/>
  <c r="N90" i="23"/>
  <c r="O41" i="23"/>
  <c r="O90" i="23"/>
  <c r="T41" i="23"/>
  <c r="T90" i="23"/>
  <c r="V90" i="23"/>
  <c r="V41" i="23"/>
  <c r="AO41" i="23"/>
  <c r="AO90" i="23"/>
  <c r="AK41" i="23"/>
  <c r="AK90" i="23"/>
  <c r="AE90" i="23"/>
  <c r="AE41" i="23"/>
  <c r="AJ41" i="23"/>
  <c r="AJ90" i="23"/>
  <c r="R41" i="23"/>
  <c r="R90" i="23"/>
  <c r="AL41" i="23"/>
  <c r="AL90" i="23"/>
  <c r="Y90" i="23"/>
  <c r="Y41" i="23"/>
  <c r="Q41" i="23"/>
  <c r="Q90" i="23"/>
  <c r="AD90" i="23"/>
  <c r="AD41" i="23"/>
  <c r="AF90" i="23"/>
  <c r="AF41" i="23"/>
  <c r="AB90" i="23"/>
  <c r="AB41" i="23"/>
  <c r="G41" i="23"/>
  <c r="B31" i="23"/>
  <c r="G90" i="23"/>
  <c r="S41" i="23"/>
  <c r="S90" i="23"/>
  <c r="Z41" i="23"/>
  <c r="Z90" i="23"/>
  <c r="AI90" i="23"/>
  <c r="AI41" i="23"/>
  <c r="U90" i="23"/>
  <c r="U41" i="23"/>
  <c r="AN90" i="23"/>
  <c r="AN41" i="23"/>
  <c r="I90" i="23"/>
  <c r="I41" i="23"/>
  <c r="C47" i="3" l="1"/>
  <c r="B37" i="6"/>
  <c r="C15" i="5"/>
  <c r="C26" i="23"/>
  <c r="B26" i="23" s="1"/>
  <c r="R26" i="23" s="1"/>
  <c r="R38" i="23" s="1"/>
  <c r="AJ26" i="5"/>
  <c r="AJ38" i="5" s="1"/>
  <c r="T26" i="5"/>
  <c r="T38" i="5" s="1"/>
  <c r="Z26" i="5"/>
  <c r="Z38" i="5" s="1"/>
  <c r="L26" i="5"/>
  <c r="L38" i="5" s="1"/>
  <c r="Y26" i="5"/>
  <c r="Y38" i="5" s="1"/>
  <c r="AC26" i="5"/>
  <c r="AC38" i="5" s="1"/>
  <c r="J26" i="5"/>
  <c r="J38" i="5" s="1"/>
  <c r="AO26" i="5"/>
  <c r="AO38" i="5" s="1"/>
  <c r="P26" i="5"/>
  <c r="P38" i="5" s="1"/>
  <c r="I26" i="5"/>
  <c r="I38" i="5" s="1"/>
  <c r="AK26" i="5"/>
  <c r="AK38" i="5" s="1"/>
  <c r="AL26" i="5"/>
  <c r="AL38" i="5" s="1"/>
  <c r="AF26" i="5"/>
  <c r="AF38" i="5" s="1"/>
  <c r="M26" i="5"/>
  <c r="M38" i="5" s="1"/>
  <c r="AD26" i="5"/>
  <c r="AD38" i="5" s="1"/>
  <c r="AA26" i="5"/>
  <c r="AA38" i="5" s="1"/>
  <c r="R26" i="5"/>
  <c r="R38" i="5" s="1"/>
  <c r="H26" i="5"/>
  <c r="H38" i="5" s="1"/>
  <c r="N26" i="5"/>
  <c r="N38" i="5" s="1"/>
  <c r="AB26" i="5"/>
  <c r="AB38" i="5" s="1"/>
  <c r="AI26" i="5"/>
  <c r="AI38" i="5" s="1"/>
  <c r="Q26" i="5"/>
  <c r="Q38" i="5" s="1"/>
  <c r="U26" i="5"/>
  <c r="U38" i="5" s="1"/>
  <c r="AM26" i="5"/>
  <c r="AM38" i="5" s="1"/>
  <c r="AH26" i="5"/>
  <c r="AH38" i="5" s="1"/>
  <c r="V26" i="5"/>
  <c r="V38" i="5" s="1"/>
  <c r="X26" i="5"/>
  <c r="X38" i="5" s="1"/>
  <c r="W26" i="5"/>
  <c r="W38" i="5" s="1"/>
  <c r="O26" i="5"/>
  <c r="O38" i="5" s="1"/>
  <c r="AN26" i="5"/>
  <c r="AN38" i="5" s="1"/>
  <c r="AG26" i="5"/>
  <c r="AG38" i="5" s="1"/>
  <c r="AP26" i="5"/>
  <c r="AP38" i="5" s="1"/>
  <c r="AE26" i="5"/>
  <c r="AE38" i="5" s="1"/>
  <c r="S26" i="5"/>
  <c r="S38" i="5" s="1"/>
  <c r="K26" i="5"/>
  <c r="K38" i="5" s="1"/>
  <c r="G26" i="5"/>
  <c r="G38" i="5" s="1"/>
  <c r="G69" i="3"/>
  <c r="C26" i="6" s="1"/>
  <c r="B26" i="6" s="1"/>
  <c r="H26" i="6" s="1"/>
  <c r="H38" i="6" s="1"/>
  <c r="G48" i="3"/>
  <c r="C15" i="6" s="1"/>
  <c r="C15" i="23"/>
  <c r="G77" i="23"/>
  <c r="G78" i="23"/>
  <c r="G80" i="23"/>
  <c r="G74" i="23"/>
  <c r="G76" i="23"/>
  <c r="G79" i="23"/>
  <c r="K78" i="23"/>
  <c r="K80" i="23"/>
  <c r="K76" i="23"/>
  <c r="K74" i="23"/>
  <c r="K86" i="23" s="1"/>
  <c r="K79" i="23"/>
  <c r="K77" i="23"/>
  <c r="H77" i="23"/>
  <c r="H80" i="23"/>
  <c r="H78" i="23"/>
  <c r="H76" i="23"/>
  <c r="H74" i="23"/>
  <c r="H86" i="23" s="1"/>
  <c r="H79" i="23"/>
  <c r="J78" i="23"/>
  <c r="J74" i="23"/>
  <c r="J86" i="23" s="1"/>
  <c r="J79" i="23"/>
  <c r="J76" i="23"/>
  <c r="J77" i="23"/>
  <c r="J80" i="23"/>
  <c r="I80" i="23"/>
  <c r="I74" i="23"/>
  <c r="I86" i="23" s="1"/>
  <c r="I76" i="23"/>
  <c r="I78" i="23"/>
  <c r="I77" i="23"/>
  <c r="I79" i="23"/>
  <c r="G41" i="6"/>
  <c r="B41" i="6" s="1"/>
  <c r="B31" i="6"/>
  <c r="B41" i="23"/>
  <c r="G47" i="3" l="1"/>
  <c r="C8" i="6" s="1"/>
  <c r="AH16" i="6" s="1"/>
  <c r="AH36" i="6" s="1"/>
  <c r="C8" i="23"/>
  <c r="H16" i="23" s="1"/>
  <c r="C8" i="5"/>
  <c r="G16" i="5" s="1"/>
  <c r="G36" i="5" s="1"/>
  <c r="G39" i="5" s="1"/>
  <c r="G51" i="23" s="1"/>
  <c r="C49" i="3"/>
  <c r="AI26" i="23"/>
  <c r="AI38" i="23" s="1"/>
  <c r="M26" i="23"/>
  <c r="M38" i="23" s="1"/>
  <c r="Q26" i="23"/>
  <c r="Q38" i="23" s="1"/>
  <c r="AN26" i="23"/>
  <c r="AN38" i="23" s="1"/>
  <c r="AP26" i="23"/>
  <c r="AP38" i="23" s="1"/>
  <c r="W26" i="23"/>
  <c r="W38" i="23" s="1"/>
  <c r="AM26" i="23"/>
  <c r="AM38" i="23" s="1"/>
  <c r="Z26" i="23"/>
  <c r="Z38" i="23" s="1"/>
  <c r="AO26" i="23"/>
  <c r="AO38" i="23" s="1"/>
  <c r="AC26" i="23"/>
  <c r="AC38" i="23" s="1"/>
  <c r="P26" i="23"/>
  <c r="P38" i="23" s="1"/>
  <c r="AF26" i="23"/>
  <c r="AF38" i="23" s="1"/>
  <c r="AH26" i="23"/>
  <c r="AH38" i="23" s="1"/>
  <c r="I26" i="23"/>
  <c r="I38" i="23" s="1"/>
  <c r="I61" i="23" s="1"/>
  <c r="S26" i="23"/>
  <c r="S38" i="23" s="1"/>
  <c r="O26" i="23"/>
  <c r="O38" i="23" s="1"/>
  <c r="N26" i="23"/>
  <c r="N38" i="23" s="1"/>
  <c r="U26" i="23"/>
  <c r="U38" i="23" s="1"/>
  <c r="AE26" i="23"/>
  <c r="AE38" i="23" s="1"/>
  <c r="AG26" i="23"/>
  <c r="AG38" i="23" s="1"/>
  <c r="L26" i="23"/>
  <c r="L38" i="23" s="1"/>
  <c r="AB26" i="23"/>
  <c r="AB38" i="23" s="1"/>
  <c r="AB60" i="23" s="1"/>
  <c r="AK26" i="23"/>
  <c r="AK38" i="23" s="1"/>
  <c r="G26" i="23"/>
  <c r="G38" i="23" s="1"/>
  <c r="AD26" i="23"/>
  <c r="AD38" i="23" s="1"/>
  <c r="H26" i="23"/>
  <c r="H38" i="23" s="1"/>
  <c r="AL26" i="23"/>
  <c r="AL38" i="23" s="1"/>
  <c r="V26" i="23"/>
  <c r="V38" i="23" s="1"/>
  <c r="J26" i="23"/>
  <c r="J38" i="23" s="1"/>
  <c r="AA26" i="23"/>
  <c r="AA38" i="23" s="1"/>
  <c r="T26" i="23"/>
  <c r="T38" i="23" s="1"/>
  <c r="AJ26" i="23"/>
  <c r="AJ38" i="23" s="1"/>
  <c r="X26" i="23"/>
  <c r="X38" i="23" s="1"/>
  <c r="Y26" i="23"/>
  <c r="Y38" i="23" s="1"/>
  <c r="K26" i="23"/>
  <c r="K38" i="23" s="1"/>
  <c r="N26" i="6"/>
  <c r="N38" i="6" s="1"/>
  <c r="V26" i="6"/>
  <c r="V38" i="6" s="1"/>
  <c r="B38" i="5"/>
  <c r="AL26" i="6"/>
  <c r="AL38" i="6" s="1"/>
  <c r="AG26" i="6"/>
  <c r="AG38" i="6" s="1"/>
  <c r="O26" i="6"/>
  <c r="O38" i="6" s="1"/>
  <c r="R26" i="6"/>
  <c r="R38" i="6" s="1"/>
  <c r="P26" i="6"/>
  <c r="P38" i="6" s="1"/>
  <c r="S26" i="6"/>
  <c r="S38" i="6" s="1"/>
  <c r="AC26" i="6"/>
  <c r="AC38" i="6" s="1"/>
  <c r="L26" i="6"/>
  <c r="L38" i="6" s="1"/>
  <c r="U26" i="6"/>
  <c r="U38" i="6" s="1"/>
  <c r="Z26" i="6"/>
  <c r="Z38" i="6" s="1"/>
  <c r="X26" i="6"/>
  <c r="X38" i="6" s="1"/>
  <c r="AJ26" i="6"/>
  <c r="AJ38" i="6" s="1"/>
  <c r="I26" i="6"/>
  <c r="I38" i="6" s="1"/>
  <c r="AI26" i="6"/>
  <c r="AI38" i="6" s="1"/>
  <c r="AN26" i="6"/>
  <c r="AN38" i="6" s="1"/>
  <c r="G26" i="6"/>
  <c r="G38" i="6" s="1"/>
  <c r="AD26" i="6"/>
  <c r="AD38" i="6" s="1"/>
  <c r="AO26" i="6"/>
  <c r="AO38" i="6" s="1"/>
  <c r="AM26" i="6"/>
  <c r="AM38" i="6" s="1"/>
  <c r="AA26" i="6"/>
  <c r="AA38" i="6" s="1"/>
  <c r="AF26" i="6"/>
  <c r="AF38" i="6" s="1"/>
  <c r="J26" i="6"/>
  <c r="J38" i="6" s="1"/>
  <c r="M26" i="6"/>
  <c r="M38" i="6" s="1"/>
  <c r="Q26" i="6"/>
  <c r="Q38" i="6" s="1"/>
  <c r="T26" i="6"/>
  <c r="T38" i="6" s="1"/>
  <c r="AB26" i="6"/>
  <c r="AB38" i="6" s="1"/>
  <c r="K26" i="6"/>
  <c r="K38" i="6" s="1"/>
  <c r="W26" i="6"/>
  <c r="W38" i="6" s="1"/>
  <c r="AH26" i="6"/>
  <c r="AH38" i="6" s="1"/>
  <c r="AK26" i="6"/>
  <c r="AK38" i="6" s="1"/>
  <c r="AP26" i="6"/>
  <c r="AP38" i="6" s="1"/>
  <c r="AE26" i="6"/>
  <c r="AE38" i="6" s="1"/>
  <c r="Y26" i="6"/>
  <c r="Y38" i="6" s="1"/>
  <c r="G86" i="23"/>
  <c r="P16" i="23" l="1"/>
  <c r="P36" i="23" s="1"/>
  <c r="P84" i="23" s="1"/>
  <c r="J16" i="23"/>
  <c r="J67" i="23" s="1"/>
  <c r="R63" i="23"/>
  <c r="AE16" i="23"/>
  <c r="AE36" i="23" s="1"/>
  <c r="AE84" i="23" s="1"/>
  <c r="AI62" i="23"/>
  <c r="AC16" i="23"/>
  <c r="AC89" i="23" s="1"/>
  <c r="Q59" i="23"/>
  <c r="AL16" i="23"/>
  <c r="AL36" i="23" s="1"/>
  <c r="AL84" i="23" s="1"/>
  <c r="R58" i="23"/>
  <c r="AE16" i="6"/>
  <c r="AE36" i="6" s="1"/>
  <c r="AE39" i="6" s="1"/>
  <c r="M64" i="23"/>
  <c r="K16" i="6"/>
  <c r="K36" i="6" s="1"/>
  <c r="K39" i="6" s="1"/>
  <c r="AK16" i="6"/>
  <c r="AK36" i="6" s="1"/>
  <c r="AK39" i="6" s="1"/>
  <c r="AM16" i="6"/>
  <c r="AM36" i="6" s="1"/>
  <c r="AM39" i="6" s="1"/>
  <c r="AC16" i="6"/>
  <c r="AC36" i="6" s="1"/>
  <c r="AC39" i="6" s="1"/>
  <c r="AJ16" i="23"/>
  <c r="AJ36" i="23" s="1"/>
  <c r="AJ85" i="23" s="1"/>
  <c r="N50" i="23"/>
  <c r="J63" i="23"/>
  <c r="L63" i="23"/>
  <c r="AH54" i="23"/>
  <c r="AB16" i="23"/>
  <c r="AB36" i="23" s="1"/>
  <c r="AB68" i="23" s="1"/>
  <c r="R60" i="23"/>
  <c r="W16" i="23"/>
  <c r="W36" i="23" s="1"/>
  <c r="W69" i="23" s="1"/>
  <c r="P16" i="6"/>
  <c r="P36" i="6" s="1"/>
  <c r="P39" i="6" s="1"/>
  <c r="AF16" i="23"/>
  <c r="AF36" i="23" s="1"/>
  <c r="AF70" i="23" s="1"/>
  <c r="G16" i="23"/>
  <c r="G36" i="23" s="1"/>
  <c r="Y62" i="23"/>
  <c r="H62" i="23"/>
  <c r="AC57" i="23"/>
  <c r="R55" i="23"/>
  <c r="Z16" i="23"/>
  <c r="Z36" i="23" s="1"/>
  <c r="AI56" i="23"/>
  <c r="R57" i="23"/>
  <c r="R64" i="23"/>
  <c r="AI63" i="23"/>
  <c r="Q16" i="23"/>
  <c r="Q36" i="23" s="1"/>
  <c r="Q69" i="23" s="1"/>
  <c r="AI59" i="23"/>
  <c r="M16" i="23"/>
  <c r="M36" i="23" s="1"/>
  <c r="M68" i="23" s="1"/>
  <c r="AI60" i="23"/>
  <c r="R16" i="23"/>
  <c r="R89" i="23" s="1"/>
  <c r="N16" i="23"/>
  <c r="N36" i="23" s="1"/>
  <c r="N84" i="23" s="1"/>
  <c r="T16" i="23"/>
  <c r="T36" i="23" s="1"/>
  <c r="K64" i="23"/>
  <c r="AM16" i="23"/>
  <c r="AM89" i="23" s="1"/>
  <c r="AI16" i="23"/>
  <c r="AI89" i="23" s="1"/>
  <c r="AK16" i="23"/>
  <c r="AK36" i="23" s="1"/>
  <c r="AK84" i="23" s="1"/>
  <c r="AA16" i="23"/>
  <c r="AA36" i="23" s="1"/>
  <c r="AA84" i="23" s="1"/>
  <c r="AP16" i="23"/>
  <c r="AP36" i="23" s="1"/>
  <c r="AP68" i="23" s="1"/>
  <c r="K59" i="23"/>
  <c r="X60" i="23"/>
  <c r="AD55" i="23"/>
  <c r="N61" i="23"/>
  <c r="R62" i="23"/>
  <c r="AI55" i="23"/>
  <c r="L16" i="23"/>
  <c r="L36" i="23" s="1"/>
  <c r="L70" i="23" s="1"/>
  <c r="AD16" i="23"/>
  <c r="AD36" i="23" s="1"/>
  <c r="AD69" i="23" s="1"/>
  <c r="AG16" i="23"/>
  <c r="AG36" i="23" s="1"/>
  <c r="AG67" i="23" s="1"/>
  <c r="R61" i="23"/>
  <c r="U16" i="23"/>
  <c r="U36" i="23" s="1"/>
  <c r="U84" i="23" s="1"/>
  <c r="O16" i="23"/>
  <c r="O89" i="23" s="1"/>
  <c r="AJ58" i="23"/>
  <c r="G63" i="23"/>
  <c r="O58" i="23"/>
  <c r="AN16" i="23"/>
  <c r="AN36" i="23" s="1"/>
  <c r="AN39" i="23" s="1"/>
  <c r="AO16" i="23"/>
  <c r="AO36" i="23" s="1"/>
  <c r="AO84" i="23" s="1"/>
  <c r="R54" i="23"/>
  <c r="I16" i="23"/>
  <c r="I68" i="23" s="1"/>
  <c r="V16" i="23"/>
  <c r="V36" i="23" s="1"/>
  <c r="V84" i="23" s="1"/>
  <c r="X16" i="23"/>
  <c r="X36" i="23" s="1"/>
  <c r="X67" i="23" s="1"/>
  <c r="T58" i="23"/>
  <c r="AK59" i="23"/>
  <c r="S55" i="23"/>
  <c r="AM55" i="23"/>
  <c r="AP62" i="23"/>
  <c r="S16" i="23"/>
  <c r="S89" i="23" s="1"/>
  <c r="AH16" i="23"/>
  <c r="AH36" i="23" s="1"/>
  <c r="AH84" i="23" s="1"/>
  <c r="R59" i="23"/>
  <c r="Y16" i="23"/>
  <c r="Y36" i="23" s="1"/>
  <c r="Y84" i="23" s="1"/>
  <c r="K16" i="23"/>
  <c r="K69" i="23" s="1"/>
  <c r="C16" i="23"/>
  <c r="B16" i="23" s="1"/>
  <c r="V59" i="23"/>
  <c r="AG60" i="23"/>
  <c r="AF57" i="23"/>
  <c r="O16" i="5"/>
  <c r="O36" i="5" s="1"/>
  <c r="O39" i="5" s="1"/>
  <c r="O51" i="23" s="1"/>
  <c r="P16" i="5"/>
  <c r="P36" i="5" s="1"/>
  <c r="P39" i="5" s="1"/>
  <c r="P51" i="23" s="1"/>
  <c r="AF16" i="5"/>
  <c r="AF36" i="5" s="1"/>
  <c r="AF39" i="5" s="1"/>
  <c r="AF51" i="23" s="1"/>
  <c r="AP16" i="5"/>
  <c r="AP36" i="5" s="1"/>
  <c r="AP39" i="5" s="1"/>
  <c r="AP51" i="23" s="1"/>
  <c r="AN60" i="23"/>
  <c r="AK16" i="5"/>
  <c r="AK36" i="5" s="1"/>
  <c r="AK39" i="5" s="1"/>
  <c r="AK51" i="23" s="1"/>
  <c r="U16" i="5"/>
  <c r="U36" i="5" s="1"/>
  <c r="U39" i="5" s="1"/>
  <c r="U51" i="23" s="1"/>
  <c r="AB16" i="5"/>
  <c r="AB36" i="5" s="1"/>
  <c r="AB39" i="5" s="1"/>
  <c r="AB51" i="23" s="1"/>
  <c r="S16" i="5"/>
  <c r="S36" i="5" s="1"/>
  <c r="S39" i="5" s="1"/>
  <c r="S51" i="23" s="1"/>
  <c r="L16" i="5"/>
  <c r="L36" i="5" s="1"/>
  <c r="L39" i="5" s="1"/>
  <c r="L51" i="23" s="1"/>
  <c r="X16" i="5"/>
  <c r="X36" i="5" s="1"/>
  <c r="X39" i="5" s="1"/>
  <c r="X51" i="23" s="1"/>
  <c r="AN16" i="5"/>
  <c r="AN36" i="5" s="1"/>
  <c r="AN39" i="5" s="1"/>
  <c r="AN51" i="23" s="1"/>
  <c r="AN59" i="23"/>
  <c r="AN57" i="23"/>
  <c r="AN55" i="23"/>
  <c r="AN58" i="23"/>
  <c r="J16" i="5"/>
  <c r="J36" i="5" s="1"/>
  <c r="J39" i="5" s="1"/>
  <c r="J51" i="23" s="1"/>
  <c r="AA16" i="5"/>
  <c r="AA36" i="5" s="1"/>
  <c r="AA39" i="5" s="1"/>
  <c r="AA51" i="23" s="1"/>
  <c r="W16" i="5"/>
  <c r="W36" i="5" s="1"/>
  <c r="W39" i="5" s="1"/>
  <c r="W51" i="23" s="1"/>
  <c r="AD16" i="5"/>
  <c r="AD36" i="5" s="1"/>
  <c r="AD39" i="5" s="1"/>
  <c r="AD51" i="23" s="1"/>
  <c r="Q16" i="5"/>
  <c r="Q36" i="5" s="1"/>
  <c r="Q39" i="5" s="1"/>
  <c r="Q51" i="23" s="1"/>
  <c r="K16" i="5"/>
  <c r="K36" i="5" s="1"/>
  <c r="K39" i="5" s="1"/>
  <c r="K51" i="23" s="1"/>
  <c r="T16" i="5"/>
  <c r="T36" i="5" s="1"/>
  <c r="T39" i="5" s="1"/>
  <c r="T51" i="23" s="1"/>
  <c r="R16" i="5"/>
  <c r="R36" i="5" s="1"/>
  <c r="R39" i="5" s="1"/>
  <c r="R51" i="23" s="1"/>
  <c r="AJ16" i="5"/>
  <c r="AJ36" i="5" s="1"/>
  <c r="AJ39" i="5" s="1"/>
  <c r="AJ51" i="23" s="1"/>
  <c r="AO63" i="23"/>
  <c r="M16" i="5"/>
  <c r="M36" i="5" s="1"/>
  <c r="M39" i="5" s="1"/>
  <c r="M51" i="23" s="1"/>
  <c r="AM16" i="5"/>
  <c r="AM36" i="5" s="1"/>
  <c r="AM39" i="5" s="1"/>
  <c r="AM51" i="23" s="1"/>
  <c r="H16" i="5"/>
  <c r="H36" i="5" s="1"/>
  <c r="H39" i="5" s="1"/>
  <c r="H51" i="23" s="1"/>
  <c r="AI16" i="5"/>
  <c r="AI36" i="5" s="1"/>
  <c r="AI39" i="5" s="1"/>
  <c r="AI51" i="23" s="1"/>
  <c r="AI61" i="23"/>
  <c r="Z54" i="23"/>
  <c r="V16" i="5"/>
  <c r="V36" i="5" s="1"/>
  <c r="V39" i="5" s="1"/>
  <c r="V51" i="23" s="1"/>
  <c r="AL16" i="5"/>
  <c r="AL36" i="5" s="1"/>
  <c r="AL39" i="5" s="1"/>
  <c r="AL51" i="23" s="1"/>
  <c r="AC16" i="5"/>
  <c r="AC36" i="5" s="1"/>
  <c r="AC39" i="5" s="1"/>
  <c r="AC51" i="23" s="1"/>
  <c r="C16" i="5"/>
  <c r="B16" i="5" s="1"/>
  <c r="AP55" i="23"/>
  <c r="I16" i="5"/>
  <c r="I36" i="5" s="1"/>
  <c r="I39" i="5" s="1"/>
  <c r="I51" i="23" s="1"/>
  <c r="Y16" i="5"/>
  <c r="Y36" i="5" s="1"/>
  <c r="Y39" i="5" s="1"/>
  <c r="Y51" i="23" s="1"/>
  <c r="AE16" i="5"/>
  <c r="AE36" i="5" s="1"/>
  <c r="AE39" i="5" s="1"/>
  <c r="AE51" i="23" s="1"/>
  <c r="AH16" i="5"/>
  <c r="AH36" i="5" s="1"/>
  <c r="AH39" i="5" s="1"/>
  <c r="AH51" i="23" s="1"/>
  <c r="M58" i="23"/>
  <c r="M54" i="23"/>
  <c r="M56" i="23"/>
  <c r="AH39" i="6"/>
  <c r="V16" i="6"/>
  <c r="V36" i="6" s="1"/>
  <c r="V39" i="6" s="1"/>
  <c r="X16" i="6"/>
  <c r="X36" i="6" s="1"/>
  <c r="X39" i="6" s="1"/>
  <c r="M16" i="6"/>
  <c r="M36" i="6" s="1"/>
  <c r="M39" i="6" s="1"/>
  <c r="AI54" i="23"/>
  <c r="AI64" i="23"/>
  <c r="AI57" i="23"/>
  <c r="AL16" i="6"/>
  <c r="AL36" i="6" s="1"/>
  <c r="AL39" i="6" s="1"/>
  <c r="AJ16" i="6"/>
  <c r="AJ36" i="6" s="1"/>
  <c r="AJ39" i="6" s="1"/>
  <c r="H16" i="6"/>
  <c r="H36" i="6" s="1"/>
  <c r="H39" i="6" s="1"/>
  <c r="I16" i="6"/>
  <c r="I36" i="6" s="1"/>
  <c r="I39" i="6" s="1"/>
  <c r="L16" i="6"/>
  <c r="L36" i="6" s="1"/>
  <c r="L39" i="6" s="1"/>
  <c r="J16" i="6"/>
  <c r="J36" i="6" s="1"/>
  <c r="J39" i="6" s="1"/>
  <c r="AL64" i="23"/>
  <c r="AE56" i="23"/>
  <c r="P64" i="23"/>
  <c r="N16" i="5"/>
  <c r="N36" i="5" s="1"/>
  <c r="N39" i="5" s="1"/>
  <c r="N51" i="23" s="1"/>
  <c r="AG16" i="5"/>
  <c r="AG36" i="5" s="1"/>
  <c r="AG39" i="5" s="1"/>
  <c r="AG51" i="23" s="1"/>
  <c r="AP16" i="6"/>
  <c r="AP36" i="6" s="1"/>
  <c r="AP39" i="6" s="1"/>
  <c r="AB16" i="6"/>
  <c r="AB36" i="6" s="1"/>
  <c r="AB39" i="6" s="1"/>
  <c r="AG16" i="6"/>
  <c r="AG36" i="6" s="1"/>
  <c r="AG39" i="6" s="1"/>
  <c r="U64" i="23"/>
  <c r="AN56" i="23"/>
  <c r="AI58" i="23"/>
  <c r="AN16" i="6"/>
  <c r="AN36" i="6" s="1"/>
  <c r="AN39" i="6" s="1"/>
  <c r="Z16" i="6"/>
  <c r="Z36" i="6" s="1"/>
  <c r="Z39" i="6" s="1"/>
  <c r="N16" i="6"/>
  <c r="N36" i="6" s="1"/>
  <c r="N39" i="6" s="1"/>
  <c r="I64" i="23"/>
  <c r="AO16" i="6"/>
  <c r="AO36" i="6" s="1"/>
  <c r="AO39" i="6" s="1"/>
  <c r="T16" i="6"/>
  <c r="T36" i="6" s="1"/>
  <c r="T39" i="6" s="1"/>
  <c r="O16" i="6"/>
  <c r="O36" i="6" s="1"/>
  <c r="O39" i="6" s="1"/>
  <c r="AD16" i="6"/>
  <c r="AD36" i="6" s="1"/>
  <c r="AD39" i="6" s="1"/>
  <c r="G49" i="3"/>
  <c r="K49" i="3" s="1"/>
  <c r="C16" i="6"/>
  <c r="B16" i="6" s="1"/>
  <c r="AA16" i="6"/>
  <c r="AA36" i="6" s="1"/>
  <c r="AA39" i="6" s="1"/>
  <c r="U16" i="6"/>
  <c r="U36" i="6" s="1"/>
  <c r="U39" i="6" s="1"/>
  <c r="Z16" i="5"/>
  <c r="Z36" i="5" s="1"/>
  <c r="Z39" i="5" s="1"/>
  <c r="Z51" i="23" s="1"/>
  <c r="R56" i="23"/>
  <c r="W16" i="6"/>
  <c r="W36" i="6" s="1"/>
  <c r="W39" i="6" s="1"/>
  <c r="AI16" i="6"/>
  <c r="AI36" i="6" s="1"/>
  <c r="AI39" i="6" s="1"/>
  <c r="AA64" i="23"/>
  <c r="W56" i="23"/>
  <c r="G16" i="6"/>
  <c r="G36" i="6" s="1"/>
  <c r="G39" i="6" s="1"/>
  <c r="M57" i="23"/>
  <c r="G64" i="23"/>
  <c r="J64" i="23"/>
  <c r="S16" i="6"/>
  <c r="S36" i="6" s="1"/>
  <c r="S39" i="6" s="1"/>
  <c r="M62" i="23"/>
  <c r="M55" i="23"/>
  <c r="H64" i="23"/>
  <c r="Y16" i="6"/>
  <c r="Y36" i="6" s="1"/>
  <c r="Y39" i="6" s="1"/>
  <c r="Q16" i="6"/>
  <c r="Q36" i="6" s="1"/>
  <c r="Q39" i="6" s="1"/>
  <c r="R16" i="6"/>
  <c r="R36" i="6" s="1"/>
  <c r="R39" i="6" s="1"/>
  <c r="AF16" i="6"/>
  <c r="AF36" i="6" s="1"/>
  <c r="AF39" i="6" s="1"/>
  <c r="AO16" i="5"/>
  <c r="AO36" i="5" s="1"/>
  <c r="AO39" i="5" s="1"/>
  <c r="AO51" i="23" s="1"/>
  <c r="H36" i="23"/>
  <c r="H39" i="23" s="1"/>
  <c r="H85" i="23" s="1"/>
  <c r="H70" i="23"/>
  <c r="H67" i="23"/>
  <c r="H69" i="23"/>
  <c r="H68" i="23"/>
  <c r="M59" i="23"/>
  <c r="Z64" i="23"/>
  <c r="M60" i="23"/>
  <c r="M61" i="23"/>
  <c r="Z58" i="23"/>
  <c r="M63" i="23"/>
  <c r="AO59" i="23"/>
  <c r="Q60" i="23"/>
  <c r="H61" i="23"/>
  <c r="Q55" i="23"/>
  <c r="H56" i="23"/>
  <c r="Q61" i="23"/>
  <c r="Q64" i="23"/>
  <c r="H57" i="23"/>
  <c r="H89" i="23"/>
  <c r="Q63" i="23"/>
  <c r="H59" i="23"/>
  <c r="H54" i="23"/>
  <c r="Q56" i="23"/>
  <c r="Q62" i="23"/>
  <c r="Q54" i="23"/>
  <c r="Q89" i="23"/>
  <c r="H58" i="23"/>
  <c r="Q58" i="23"/>
  <c r="H60" i="23"/>
  <c r="H55" i="23"/>
  <c r="Q57" i="23"/>
  <c r="AJ62" i="23"/>
  <c r="AJ64" i="23"/>
  <c r="AJ63" i="23"/>
  <c r="AJ61" i="23"/>
  <c r="AJ56" i="23"/>
  <c r="AJ60" i="23"/>
  <c r="J61" i="23"/>
  <c r="L58" i="23"/>
  <c r="J58" i="23"/>
  <c r="L57" i="23"/>
  <c r="AM63" i="23"/>
  <c r="AG54" i="23"/>
  <c r="AH58" i="23"/>
  <c r="W55" i="23"/>
  <c r="AN54" i="23"/>
  <c r="AP57" i="23"/>
  <c r="W58" i="23"/>
  <c r="AN64" i="23"/>
  <c r="Y60" i="23"/>
  <c r="K62" i="23"/>
  <c r="W62" i="23"/>
  <c r="W57" i="23"/>
  <c r="AE62" i="23"/>
  <c r="AN61" i="23"/>
  <c r="AH63" i="23"/>
  <c r="AG64" i="23"/>
  <c r="AN63" i="23"/>
  <c r="AN62" i="23"/>
  <c r="AH61" i="23"/>
  <c r="W64" i="23"/>
  <c r="AP58" i="23"/>
  <c r="J62" i="23"/>
  <c r="AM58" i="23"/>
  <c r="J59" i="23"/>
  <c r="AM64" i="23"/>
  <c r="AM57" i="23"/>
  <c r="AM54" i="23"/>
  <c r="J57" i="23"/>
  <c r="J54" i="23"/>
  <c r="AM56" i="23"/>
  <c r="AM62" i="23"/>
  <c r="AM59" i="23"/>
  <c r="J55" i="23"/>
  <c r="J56" i="23"/>
  <c r="AM60" i="23"/>
  <c r="AM61" i="23"/>
  <c r="J60" i="23"/>
  <c r="W59" i="23"/>
  <c r="W54" i="23"/>
  <c r="W63" i="23"/>
  <c r="W60" i="23"/>
  <c r="W61" i="23"/>
  <c r="V62" i="23"/>
  <c r="O63" i="23"/>
  <c r="V56" i="23"/>
  <c r="K58" i="23"/>
  <c r="K63" i="23"/>
  <c r="V55" i="23"/>
  <c r="AB64" i="23"/>
  <c r="S56" i="23"/>
  <c r="S60" i="23"/>
  <c r="AB62" i="23"/>
  <c r="S57" i="23"/>
  <c r="S61" i="23"/>
  <c r="AB58" i="23"/>
  <c r="AA59" i="23"/>
  <c r="AB56" i="23"/>
  <c r="AB61" i="23"/>
  <c r="S59" i="23"/>
  <c r="AB59" i="23"/>
  <c r="AB63" i="23"/>
  <c r="S64" i="23"/>
  <c r="AB54" i="23"/>
  <c r="AB55" i="23"/>
  <c r="S63" i="23"/>
  <c r="S58" i="23"/>
  <c r="S62" i="23"/>
  <c r="AB57" i="23"/>
  <c r="AE85" i="23"/>
  <c r="S54" i="23"/>
  <c r="AP54" i="23"/>
  <c r="P39" i="23"/>
  <c r="U60" i="23"/>
  <c r="P55" i="23"/>
  <c r="H63" i="23"/>
  <c r="P59" i="23"/>
  <c r="P54" i="23"/>
  <c r="U58" i="23"/>
  <c r="P56" i="23"/>
  <c r="U61" i="23"/>
  <c r="P63" i="23"/>
  <c r="AP64" i="23"/>
  <c r="AP59" i="23"/>
  <c r="P57" i="23"/>
  <c r="U62" i="23"/>
  <c r="P60" i="23"/>
  <c r="P62" i="23"/>
  <c r="P61" i="23"/>
  <c r="U56" i="23"/>
  <c r="U55" i="23"/>
  <c r="U63" i="23"/>
  <c r="AP56" i="23"/>
  <c r="AP61" i="23"/>
  <c r="AP63" i="23"/>
  <c r="P58" i="23"/>
  <c r="U54" i="23"/>
  <c r="U57" i="23"/>
  <c r="AP60" i="23"/>
  <c r="U59" i="23"/>
  <c r="G58" i="23"/>
  <c r="P70" i="23"/>
  <c r="G57" i="23"/>
  <c r="N58" i="23"/>
  <c r="N60" i="23"/>
  <c r="G62" i="23"/>
  <c r="P85" i="23"/>
  <c r="T57" i="23"/>
  <c r="P89" i="23"/>
  <c r="T54" i="23"/>
  <c r="G54" i="23"/>
  <c r="AC64" i="23"/>
  <c r="AA61" i="23"/>
  <c r="AA56" i="23"/>
  <c r="AK60" i="23"/>
  <c r="AK64" i="23"/>
  <c r="AK58" i="23"/>
  <c r="AK62" i="23"/>
  <c r="AC63" i="23"/>
  <c r="O64" i="23"/>
  <c r="O59" i="23"/>
  <c r="AK54" i="23"/>
  <c r="AC54" i="23"/>
  <c r="AK57" i="23"/>
  <c r="AK61" i="23"/>
  <c r="AK63" i="23"/>
  <c r="AA57" i="23"/>
  <c r="AC59" i="23"/>
  <c r="AK55" i="23"/>
  <c r="AK56" i="23"/>
  <c r="AC62" i="23"/>
  <c r="AC61" i="23"/>
  <c r="AA58" i="23"/>
  <c r="AA63" i="23"/>
  <c r="O56" i="23"/>
  <c r="AA60" i="23"/>
  <c r="AA55" i="23"/>
  <c r="O62" i="23"/>
  <c r="O60" i="23"/>
  <c r="AA62" i="23"/>
  <c r="O55" i="23"/>
  <c r="AC58" i="23"/>
  <c r="O57" i="23"/>
  <c r="O61" i="23"/>
  <c r="AA54" i="23"/>
  <c r="AC60" i="23"/>
  <c r="AC55" i="23"/>
  <c r="AC56" i="23"/>
  <c r="O54" i="23"/>
  <c r="G55" i="23"/>
  <c r="AO58" i="23"/>
  <c r="V61" i="23"/>
  <c r="T62" i="23"/>
  <c r="N62" i="23"/>
  <c r="K60" i="23"/>
  <c r="L55" i="23"/>
  <c r="K56" i="23"/>
  <c r="T60" i="23"/>
  <c r="L61" i="23"/>
  <c r="G56" i="23"/>
  <c r="AO56" i="23"/>
  <c r="T64" i="23"/>
  <c r="V64" i="23"/>
  <c r="T59" i="23"/>
  <c r="N59" i="23"/>
  <c r="N56" i="23"/>
  <c r="K61" i="23"/>
  <c r="V58" i="23"/>
  <c r="L64" i="23"/>
  <c r="L62" i="23"/>
  <c r="V63" i="23"/>
  <c r="V54" i="23"/>
  <c r="T61" i="23"/>
  <c r="N57" i="23"/>
  <c r="G59" i="23"/>
  <c r="V57" i="23"/>
  <c r="V60" i="23"/>
  <c r="T63" i="23"/>
  <c r="T56" i="23"/>
  <c r="N64" i="23"/>
  <c r="K54" i="23"/>
  <c r="N54" i="23"/>
  <c r="L60" i="23"/>
  <c r="L56" i="23"/>
  <c r="L54" i="23"/>
  <c r="G61" i="23"/>
  <c r="G60" i="23"/>
  <c r="T55" i="23"/>
  <c r="N55" i="23"/>
  <c r="K57" i="23"/>
  <c r="L59" i="23"/>
  <c r="N63" i="23"/>
  <c r="K55" i="23"/>
  <c r="G39" i="23"/>
  <c r="G85" i="23" s="1"/>
  <c r="T70" i="23"/>
  <c r="AE55" i="23"/>
  <c r="AE70" i="23"/>
  <c r="AE54" i="23"/>
  <c r="AE59" i="23"/>
  <c r="AE58" i="23"/>
  <c r="I56" i="23"/>
  <c r="AL63" i="23"/>
  <c r="X58" i="23"/>
  <c r="AD57" i="23"/>
  <c r="Z63" i="23"/>
  <c r="AD60" i="23"/>
  <c r="AD54" i="23"/>
  <c r="Z56" i="23"/>
  <c r="AD61" i="23"/>
  <c r="Z57" i="23"/>
  <c r="AF55" i="23"/>
  <c r="AF56" i="23"/>
  <c r="Z62" i="23"/>
  <c r="AD63" i="23"/>
  <c r="AD64" i="23"/>
  <c r="AD59" i="23"/>
  <c r="AD58" i="23"/>
  <c r="AD62" i="23"/>
  <c r="Z55" i="23"/>
  <c r="Z59" i="23"/>
  <c r="AF54" i="23"/>
  <c r="Z60" i="23"/>
  <c r="Z61" i="23"/>
  <c r="AD56" i="23"/>
  <c r="AF60" i="23"/>
  <c r="AF63" i="23"/>
  <c r="AF59" i="23"/>
  <c r="AF61" i="23"/>
  <c r="AF58" i="23"/>
  <c r="AF62" i="23"/>
  <c r="AF64" i="23"/>
  <c r="AJ57" i="23"/>
  <c r="AO54" i="23"/>
  <c r="AH56" i="23"/>
  <c r="AO55" i="23"/>
  <c r="AO62" i="23"/>
  <c r="AO57" i="23"/>
  <c r="AJ55" i="23"/>
  <c r="AO61" i="23"/>
  <c r="AJ59" i="23"/>
  <c r="AJ54" i="23"/>
  <c r="AO64" i="23"/>
  <c r="AO60" i="23"/>
  <c r="AH55" i="23"/>
  <c r="AE61" i="23"/>
  <c r="AL60" i="23"/>
  <c r="AG62" i="23"/>
  <c r="AL57" i="23"/>
  <c r="AL58" i="23"/>
  <c r="AG61" i="23"/>
  <c r="Y58" i="23"/>
  <c r="Y54" i="23"/>
  <c r="Y61" i="23"/>
  <c r="I55" i="23"/>
  <c r="X57" i="23"/>
  <c r="Y55" i="23"/>
  <c r="Y64" i="23"/>
  <c r="AE57" i="23"/>
  <c r="AG59" i="23"/>
  <c r="AE63" i="23"/>
  <c r="AL62" i="23"/>
  <c r="AL56" i="23"/>
  <c r="X64" i="23"/>
  <c r="AL61" i="23"/>
  <c r="AL59" i="23"/>
  <c r="X56" i="23"/>
  <c r="X59" i="23"/>
  <c r="I54" i="23"/>
  <c r="AE89" i="23"/>
  <c r="AE60" i="23"/>
  <c r="AE64" i="23"/>
  <c r="AL54" i="23"/>
  <c r="AE39" i="23"/>
  <c r="Y59" i="23"/>
  <c r="X54" i="23"/>
  <c r="I57" i="23"/>
  <c r="AG58" i="23"/>
  <c r="AG56" i="23"/>
  <c r="AL55" i="23"/>
  <c r="AG63" i="23"/>
  <c r="X63" i="23"/>
  <c r="Y57" i="23"/>
  <c r="Y63" i="23"/>
  <c r="AG55" i="23"/>
  <c r="AG57" i="23"/>
  <c r="B38" i="23"/>
  <c r="X61" i="23"/>
  <c r="X55" i="23"/>
  <c r="X62" i="23"/>
  <c r="Y56" i="23"/>
  <c r="I63" i="23"/>
  <c r="I60" i="23"/>
  <c r="AH60" i="23"/>
  <c r="AH62" i="23"/>
  <c r="I59" i="23"/>
  <c r="I58" i="23"/>
  <c r="AH64" i="23"/>
  <c r="AH59" i="23"/>
  <c r="AH57" i="23"/>
  <c r="I62" i="23"/>
  <c r="J68" i="23"/>
  <c r="J69" i="23"/>
  <c r="T85" i="23"/>
  <c r="G70" i="23"/>
  <c r="G89" i="23"/>
  <c r="G69" i="23"/>
  <c r="G67" i="23"/>
  <c r="AH70" i="23"/>
  <c r="G68" i="23"/>
  <c r="X68" i="23"/>
  <c r="AB67" i="23"/>
  <c r="AB69" i="23"/>
  <c r="V67" i="23"/>
  <c r="V69" i="23"/>
  <c r="T68" i="23"/>
  <c r="T67" i="23"/>
  <c r="T69" i="23"/>
  <c r="AE67" i="23"/>
  <c r="AE68" i="23"/>
  <c r="AE69" i="23"/>
  <c r="P67" i="23"/>
  <c r="P69" i="23"/>
  <c r="P68" i="23"/>
  <c r="T39" i="23"/>
  <c r="B38" i="6"/>
  <c r="T89" i="23"/>
  <c r="T84" i="23"/>
  <c r="I69" i="23"/>
  <c r="J70" i="23"/>
  <c r="V70" i="23"/>
  <c r="AB39" i="23"/>
  <c r="J36" i="23"/>
  <c r="J39" i="23" s="1"/>
  <c r="J85" i="23" s="1"/>
  <c r="J89" i="23"/>
  <c r="AB89" i="23"/>
  <c r="X39" i="23"/>
  <c r="X70" i="23"/>
  <c r="AF39" i="23" l="1"/>
  <c r="AC36" i="23"/>
  <c r="AC67" i="23" s="1"/>
  <c r="AL69" i="23"/>
  <c r="AL67" i="23"/>
  <c r="AL68" i="23"/>
  <c r="AL70" i="23"/>
  <c r="AL85" i="23"/>
  <c r="AL89" i="23"/>
  <c r="AL39" i="23"/>
  <c r="N68" i="23"/>
  <c r="AG89" i="23"/>
  <c r="AO69" i="23"/>
  <c r="AB70" i="23"/>
  <c r="X85" i="23"/>
  <c r="X89" i="23"/>
  <c r="AB84" i="23"/>
  <c r="AI36" i="23"/>
  <c r="AI67" i="23" s="1"/>
  <c r="X69" i="23"/>
  <c r="X84" i="23"/>
  <c r="AB85" i="23"/>
  <c r="AO85" i="23"/>
  <c r="AG68" i="23"/>
  <c r="AF67" i="23"/>
  <c r="Y68" i="23"/>
  <c r="N70" i="23"/>
  <c r="AG84" i="23"/>
  <c r="AD89" i="23"/>
  <c r="AN67" i="23"/>
  <c r="AJ84" i="23"/>
  <c r="AJ70" i="23"/>
  <c r="AN68" i="23"/>
  <c r="AD67" i="23"/>
  <c r="AP89" i="23"/>
  <c r="AP39" i="23"/>
  <c r="AN85" i="23"/>
  <c r="AG39" i="23"/>
  <c r="AO68" i="23"/>
  <c r="AF89" i="23"/>
  <c r="N85" i="23"/>
  <c r="AG70" i="23"/>
  <c r="N69" i="23"/>
  <c r="AF69" i="23"/>
  <c r="AO67" i="23"/>
  <c r="N39" i="23"/>
  <c r="AF85" i="23"/>
  <c r="N67" i="23"/>
  <c r="AF68" i="23"/>
  <c r="N89" i="23"/>
  <c r="AF84" i="23"/>
  <c r="AO70" i="23"/>
  <c r="AO39" i="23"/>
  <c r="AG85" i="23"/>
  <c r="AG69" i="23"/>
  <c r="AO89" i="23"/>
  <c r="AD39" i="23"/>
  <c r="AJ89" i="23"/>
  <c r="AN84" i="23"/>
  <c r="AN69" i="23"/>
  <c r="AD85" i="23"/>
  <c r="AP85" i="23"/>
  <c r="AD84" i="23"/>
  <c r="AP67" i="23"/>
  <c r="AN89" i="23"/>
  <c r="AP84" i="23"/>
  <c r="AD70" i="23"/>
  <c r="AJ69" i="23"/>
  <c r="AP69" i="23"/>
  <c r="AN70" i="23"/>
  <c r="AP70" i="23"/>
  <c r="R36" i="23"/>
  <c r="R84" i="23" s="1"/>
  <c r="AJ39" i="23"/>
  <c r="AJ68" i="23"/>
  <c r="AD68" i="23"/>
  <c r="AJ67" i="23"/>
  <c r="O36" i="23"/>
  <c r="O84" i="23" s="1"/>
  <c r="V89" i="23"/>
  <c r="AM36" i="23"/>
  <c r="AM84" i="23" s="1"/>
  <c r="W85" i="23"/>
  <c r="W68" i="23"/>
  <c r="V68" i="23"/>
  <c r="AH39" i="23"/>
  <c r="AH89" i="23"/>
  <c r="AH69" i="23"/>
  <c r="V85" i="23"/>
  <c r="AH85" i="23"/>
  <c r="V39" i="23"/>
  <c r="AH68" i="23"/>
  <c r="Y85" i="23"/>
  <c r="AH67" i="23"/>
  <c r="M39" i="23"/>
  <c r="M69" i="23"/>
  <c r="W89" i="23"/>
  <c r="W39" i="23"/>
  <c r="M85" i="23"/>
  <c r="AA85" i="23"/>
  <c r="L39" i="23"/>
  <c r="L84" i="23" s="1"/>
  <c r="AA67" i="23"/>
  <c r="Z89" i="23"/>
  <c r="AA70" i="23"/>
  <c r="AA68" i="23"/>
  <c r="L89" i="23"/>
  <c r="AA89" i="23"/>
  <c r="L69" i="23"/>
  <c r="AA69" i="23"/>
  <c r="L85" i="23"/>
  <c r="K89" i="23"/>
  <c r="K36" i="23"/>
  <c r="K39" i="23" s="1"/>
  <c r="K85" i="23" s="1"/>
  <c r="L68" i="23"/>
  <c r="K70" i="23"/>
  <c r="AA39" i="23"/>
  <c r="W84" i="23"/>
  <c r="W67" i="23"/>
  <c r="L67" i="23"/>
  <c r="K68" i="23"/>
  <c r="K67" i="23"/>
  <c r="W70" i="23"/>
  <c r="Y70" i="23"/>
  <c r="Y39" i="23"/>
  <c r="Y67" i="23"/>
  <c r="M84" i="23"/>
  <c r="M70" i="23"/>
  <c r="Y69" i="23"/>
  <c r="M67" i="23"/>
  <c r="M89" i="23"/>
  <c r="Y89" i="23"/>
  <c r="AK89" i="23"/>
  <c r="U85" i="23"/>
  <c r="G5" i="23"/>
  <c r="S36" i="23"/>
  <c r="S69" i="23" s="1"/>
  <c r="I70" i="23"/>
  <c r="I89" i="23"/>
  <c r="U89" i="23"/>
  <c r="I67" i="23"/>
  <c r="L5" i="23"/>
  <c r="H5" i="23"/>
  <c r="K5" i="23"/>
  <c r="U67" i="23"/>
  <c r="J5" i="23"/>
  <c r="I5" i="23"/>
  <c r="U68" i="23"/>
  <c r="U39" i="23"/>
  <c r="I36" i="23"/>
  <c r="I39" i="23" s="1"/>
  <c r="I85" i="23" s="1"/>
  <c r="U69" i="23"/>
  <c r="U70" i="23"/>
  <c r="J5" i="5"/>
  <c r="L5" i="5"/>
  <c r="K5" i="5"/>
  <c r="G5" i="5"/>
  <c r="I5" i="5"/>
  <c r="H5" i="5"/>
  <c r="B36" i="6"/>
  <c r="Q67" i="23"/>
  <c r="G84" i="23"/>
  <c r="Q85" i="23"/>
  <c r="Q68" i="23"/>
  <c r="Q39" i="23"/>
  <c r="Q84" i="23"/>
  <c r="Q70" i="23"/>
  <c r="B36" i="5"/>
  <c r="B39" i="5"/>
  <c r="B43" i="5" s="1"/>
  <c r="C76" i="3" s="1"/>
  <c r="B61" i="23"/>
  <c r="H84" i="23"/>
  <c r="B56" i="23"/>
  <c r="B64" i="23"/>
  <c r="B58" i="23"/>
  <c r="B60" i="23"/>
  <c r="B54" i="23"/>
  <c r="B55" i="23"/>
  <c r="B63" i="23"/>
  <c r="B57" i="23"/>
  <c r="B59" i="23"/>
  <c r="B62" i="23"/>
  <c r="B39" i="6"/>
  <c r="B43" i="6" s="1"/>
  <c r="G76" i="3" s="1"/>
  <c r="G35" i="3" s="1"/>
  <c r="J84" i="23"/>
  <c r="Z67" i="23"/>
  <c r="Z68" i="23"/>
  <c r="Z69" i="23"/>
  <c r="AK85" i="23"/>
  <c r="AK68" i="23"/>
  <c r="AK67" i="23"/>
  <c r="AK69" i="23"/>
  <c r="Z70" i="23"/>
  <c r="Z39" i="23"/>
  <c r="Z85" i="23"/>
  <c r="AK70" i="23"/>
  <c r="Z84" i="23"/>
  <c r="AK39" i="23"/>
  <c r="AC70" i="23" l="1"/>
  <c r="AC84" i="23"/>
  <c r="AI70" i="23"/>
  <c r="K84" i="23"/>
  <c r="AC68" i="23"/>
  <c r="AC85" i="23"/>
  <c r="AC39" i="23"/>
  <c r="AC69" i="23"/>
  <c r="AI84" i="23"/>
  <c r="AI85" i="23"/>
  <c r="AI39" i="23"/>
  <c r="AI69" i="23"/>
  <c r="AI68" i="23"/>
  <c r="AM70" i="23"/>
  <c r="R39" i="23"/>
  <c r="R85" i="23"/>
  <c r="R68" i="23"/>
  <c r="R69" i="23"/>
  <c r="R70" i="23"/>
  <c r="R67" i="23"/>
  <c r="O68" i="23"/>
  <c r="O67" i="23"/>
  <c r="O69" i="23"/>
  <c r="O39" i="23"/>
  <c r="O85" i="23"/>
  <c r="O70" i="23"/>
  <c r="AM69" i="23"/>
  <c r="AM39" i="23"/>
  <c r="AM67" i="23"/>
  <c r="AM68" i="23"/>
  <c r="AM85" i="23"/>
  <c r="B36" i="23"/>
  <c r="S84" i="23"/>
  <c r="S70" i="23"/>
  <c r="S68" i="23"/>
  <c r="B89" i="23"/>
  <c r="S85" i="23"/>
  <c r="S39" i="23"/>
  <c r="S67" i="23"/>
  <c r="I84" i="23"/>
  <c r="C35" i="3"/>
  <c r="K35" i="3" s="1"/>
  <c r="D21" i="26" s="1"/>
  <c r="K76" i="3"/>
  <c r="B69" i="23" l="1"/>
  <c r="B67" i="23"/>
  <c r="B68" i="23"/>
  <c r="B70" i="23"/>
  <c r="B39" i="23"/>
  <c r="B79" i="23" s="1"/>
  <c r="B86" i="23"/>
  <c r="B84" i="23"/>
  <c r="M13" i="3"/>
  <c r="C18" i="3" s="1"/>
  <c r="B77" i="23" l="1"/>
  <c r="B74" i="23"/>
  <c r="B78" i="23"/>
  <c r="B80" i="23"/>
  <c r="B81" i="23"/>
  <c r="B76" i="23"/>
  <c r="B43" i="23"/>
  <c r="C89" i="23" s="1"/>
  <c r="C58" i="23" l="1"/>
  <c r="C79" i="23"/>
  <c r="C80" i="23"/>
  <c r="H63" i="3" s="1"/>
  <c r="C62" i="23"/>
  <c r="H46" i="3" s="1"/>
  <c r="C69" i="23"/>
  <c r="H54" i="3" s="1"/>
  <c r="C59" i="23"/>
  <c r="H42" i="3" s="1"/>
  <c r="C54" i="23"/>
  <c r="H39" i="3" s="1"/>
  <c r="C81" i="23"/>
  <c r="H65" i="3" s="1"/>
  <c r="C60" i="23"/>
  <c r="H44" i="3" s="1"/>
  <c r="C57" i="23"/>
  <c r="H41" i="3" s="1"/>
  <c r="C56" i="23"/>
  <c r="H47" i="3" s="1"/>
  <c r="C70" i="23"/>
  <c r="H55" i="3" s="1"/>
  <c r="C61" i="23"/>
  <c r="H45" i="3" s="1"/>
  <c r="C76" i="23"/>
  <c r="H60" i="3" s="1"/>
  <c r="C67" i="23"/>
  <c r="H52" i="3" s="1"/>
  <c r="C63" i="23"/>
  <c r="H48" i="3" s="1"/>
  <c r="C84" i="23"/>
  <c r="H69" i="3" s="1"/>
  <c r="C68" i="23"/>
  <c r="H53" i="3" s="1"/>
  <c r="C64" i="23"/>
  <c r="H49" i="3" s="1"/>
  <c r="C77" i="23"/>
  <c r="H61" i="3" s="1"/>
  <c r="C86" i="23"/>
  <c r="C74" i="23"/>
  <c r="H58" i="3" s="1"/>
  <c r="C55" i="23"/>
  <c r="H40" i="3" s="1"/>
  <c r="C78" i="23"/>
  <c r="H62" i="3" s="1"/>
  <c r="H64" i="3" l="1"/>
  <c r="H4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 Howard</author>
  </authors>
  <commentList>
    <comment ref="E60" authorId="0" shapeId="0" xr:uid="{00000000-0006-0000-0500-000001000000}">
      <text>
        <r>
          <rPr>
            <sz val="8"/>
            <color indexed="81"/>
            <rFont val="Tahoma"/>
            <family val="2"/>
          </rPr>
          <t>Note:
Change is to be input as percentage points and not percentage.</t>
        </r>
      </text>
    </comment>
    <comment ref="F60" authorId="0" shapeId="0" xr:uid="{00000000-0006-0000-0500-000002000000}">
      <text>
        <r>
          <rPr>
            <sz val="8"/>
            <color indexed="81"/>
            <rFont val="Tahoma"/>
            <family val="2"/>
          </rPr>
          <t>Note:
Change is to be input as percentage points and not percentage.</t>
        </r>
      </text>
    </comment>
    <comment ref="E61" authorId="0" shapeId="0" xr:uid="{00000000-0006-0000-0500-000003000000}">
      <text>
        <r>
          <rPr>
            <sz val="8"/>
            <color indexed="81"/>
            <rFont val="Tahoma"/>
            <family val="2"/>
          </rPr>
          <t>Note:
Change is to be input as percentage points and not percentage.</t>
        </r>
      </text>
    </comment>
    <comment ref="F61" authorId="0" shapeId="0" xr:uid="{00000000-0006-0000-0500-000004000000}">
      <text>
        <r>
          <rPr>
            <sz val="8"/>
            <color indexed="81"/>
            <rFont val="Tahoma"/>
            <family val="2"/>
          </rPr>
          <t>Note:
Change is to be input as percentage points and not percentage.</t>
        </r>
      </text>
    </comment>
    <comment ref="E62" authorId="0" shapeId="0" xr:uid="{00000000-0006-0000-0500-000005000000}">
      <text>
        <r>
          <rPr>
            <sz val="8"/>
            <color indexed="81"/>
            <rFont val="Tahoma"/>
            <family val="2"/>
          </rPr>
          <t>Note:
Change is to be input as percentage points and not percentage.</t>
        </r>
      </text>
    </comment>
    <comment ref="F62" authorId="0" shapeId="0" xr:uid="{00000000-0006-0000-0500-000006000000}">
      <text>
        <r>
          <rPr>
            <sz val="8"/>
            <color indexed="81"/>
            <rFont val="Tahoma"/>
            <family val="2"/>
          </rPr>
          <t>Note:
Change is to be input as percentage points and not percentage.</t>
        </r>
      </text>
    </comment>
    <comment ref="E63" authorId="0" shapeId="0" xr:uid="{7033ADD7-3042-4EAB-B5B0-94876AACC4C3}">
      <text>
        <r>
          <rPr>
            <sz val="8"/>
            <color indexed="81"/>
            <rFont val="Tahoma"/>
            <family val="2"/>
          </rPr>
          <t>Note:
Change is to be input as percentage points and not percentage.</t>
        </r>
      </text>
    </comment>
    <comment ref="F63" authorId="0" shapeId="0" xr:uid="{47FD9AA8-8104-4891-AAD1-035BB6475DF2}">
      <text>
        <r>
          <rPr>
            <sz val="8"/>
            <color indexed="81"/>
            <rFont val="Tahoma"/>
            <family val="2"/>
          </rPr>
          <t>Note:
Change is to be input as percentage points and not percentage.</t>
        </r>
      </text>
    </comment>
    <comment ref="E64" authorId="0" shapeId="0" xr:uid="{00000000-0006-0000-0500-000007000000}">
      <text>
        <r>
          <rPr>
            <sz val="8"/>
            <color indexed="81"/>
            <rFont val="Tahoma"/>
            <family val="2"/>
          </rPr>
          <t>Note:
Change is to be input as percentage points and not percentage.</t>
        </r>
      </text>
    </comment>
    <comment ref="F64" authorId="0" shapeId="0" xr:uid="{00000000-0006-0000-0500-000008000000}">
      <text>
        <r>
          <rPr>
            <sz val="8"/>
            <color indexed="81"/>
            <rFont val="Tahoma"/>
            <family val="2"/>
          </rPr>
          <t>Note:
Change is to be input as percentage points and not percentage.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<sst xmlns="http://schemas.openxmlformats.org/spreadsheetml/2006/main" count="484" uniqueCount="313">
  <si>
    <t>Total</t>
  </si>
  <si>
    <t>per MW</t>
  </si>
  <si>
    <t>Phasing (Years)</t>
  </si>
  <si>
    <t>NET Annual Energy Production - MWh</t>
  </si>
  <si>
    <t>Net energy production per MW (MWh)</t>
  </si>
  <si>
    <r>
      <t xml:space="preserve">Discount Rate </t>
    </r>
    <r>
      <rPr>
        <sz val="10"/>
        <color theme="1"/>
        <rFont val="Arial"/>
        <family val="2"/>
      </rPr>
      <t>(average over project lifetime)</t>
    </r>
  </si>
  <si>
    <t>Discount factor</t>
  </si>
  <si>
    <t>Discounted Cashflow</t>
  </si>
  <si>
    <t>Total CAPEX</t>
  </si>
  <si>
    <t>Total OPEX</t>
  </si>
  <si>
    <t>Total Decommissioning cost</t>
  </si>
  <si>
    <t>Total discounted cashflow</t>
  </si>
  <si>
    <t>Discounted net generation</t>
  </si>
  <si>
    <t>Levelised Cost of Energy</t>
  </si>
  <si>
    <t>Turbine</t>
  </si>
  <si>
    <t>Support structure (inc. tower)</t>
  </si>
  <si>
    <t>Array cables</t>
  </si>
  <si>
    <t xml:space="preserve">Installation </t>
  </si>
  <si>
    <t>Transmission charges</t>
  </si>
  <si>
    <t>% energised</t>
  </si>
  <si>
    <t>CAPEX</t>
  </si>
  <si>
    <t>OPEX</t>
  </si>
  <si>
    <t>Energy Production</t>
  </si>
  <si>
    <t>Decommissioning</t>
  </si>
  <si>
    <t>Phasing</t>
  </si>
  <si>
    <t>Construction phase insurance</t>
  </si>
  <si>
    <t>Operating phase insurance</t>
  </si>
  <si>
    <t>Wind farm availability</t>
  </si>
  <si>
    <t>% change due to technology</t>
  </si>
  <si>
    <t>% change due to supply chain</t>
  </si>
  <si>
    <t>Operations and maintenance</t>
  </si>
  <si>
    <t>A</t>
  </si>
  <si>
    <t>B</t>
  </si>
  <si>
    <t>C</t>
  </si>
  <si>
    <t>D</t>
  </si>
  <si>
    <t>Technology</t>
  </si>
  <si>
    <t>Net energy production (MWh/MW/yr)</t>
  </si>
  <si>
    <t>Definitions/abbreviations:</t>
  </si>
  <si>
    <t>FID</t>
  </si>
  <si>
    <t>WCD</t>
  </si>
  <si>
    <t>WACC</t>
  </si>
  <si>
    <t>Purpose and Scope:</t>
  </si>
  <si>
    <t>LCOE</t>
  </si>
  <si>
    <t>Project development and consenting up to FID</t>
  </si>
  <si>
    <t>Project management and contingencies from FID to WCD</t>
  </si>
  <si>
    <t>Operational phase</t>
  </si>
  <si>
    <t>Decommissioning phase</t>
  </si>
  <si>
    <t>Wind farm unit size (MW)</t>
  </si>
  <si>
    <t>OPEX Total</t>
  </si>
  <si>
    <t>Gross Energy Production (MWh/MW/yr)</t>
  </si>
  <si>
    <t>Aerodynamic array losses</t>
  </si>
  <si>
    <t>Electrical array losses</t>
  </si>
  <si>
    <t>Other losses</t>
  </si>
  <si>
    <t>Construction contingency</t>
  </si>
  <si>
    <t>Contingency</t>
  </si>
  <si>
    <t>Transmission build</t>
  </si>
  <si>
    <t>Instructions for completion:</t>
  </si>
  <si>
    <t>Change</t>
  </si>
  <si>
    <t>Requires input</t>
  </si>
  <si>
    <t>Fixed data</t>
  </si>
  <si>
    <t xml:space="preserve">Value calculated or linked to elsewhere on the worksheet </t>
  </si>
  <si>
    <t>Change in LCOE (%)</t>
  </si>
  <si>
    <t>Key:</t>
  </si>
  <si>
    <t>Water depth (m)</t>
  </si>
  <si>
    <t>Average mean wind speed at 100m above mean sea level (m/s)</t>
  </si>
  <si>
    <t>Element</t>
  </si>
  <si>
    <t>AEP</t>
  </si>
  <si>
    <t>Other</t>
  </si>
  <si>
    <t>Foundation type</t>
  </si>
  <si>
    <t>Tower</t>
  </si>
  <si>
    <t>LCOE (£/MWh) (taken from calculator tab)</t>
  </si>
  <si>
    <t>CAPEX: (£000s/MW)</t>
  </si>
  <si>
    <t>OPEX: (£000s/MW/yr)</t>
  </si>
  <si>
    <t>Financial investment decision</t>
  </si>
  <si>
    <t>Works completion date (that is the point at which 100% of turbines are energised/operational)</t>
  </si>
  <si>
    <t>Levelised cost of energy</t>
  </si>
  <si>
    <t>Weighted average cost of capital (real, pre-tax)</t>
  </si>
  <si>
    <t>Impact of change in element on LCOE</t>
  </si>
  <si>
    <t>£</t>
  </si>
  <si>
    <t>€</t>
  </si>
  <si>
    <t>Distance to O&amp;M port (km)</t>
  </si>
  <si>
    <t>Change in CAPEX (%)</t>
  </si>
  <si>
    <t>Change in OPEX (%)</t>
  </si>
  <si>
    <t>Change in AEP (%)</t>
  </si>
  <si>
    <t>The gross AEP averaged over the wind farm life at output of the turbines. Excludes aerodynamic array losses, electrical array losses and other losses. Includes any site air density adjustments from the standard turbine power curve.</t>
  </si>
  <si>
    <t>New LCOE</t>
  </si>
  <si>
    <t>Contribution to LCOE change</t>
  </si>
  <si>
    <t>CAPEX, OPEX, DECEX</t>
  </si>
  <si>
    <t>Description</t>
  </si>
  <si>
    <t>Includes further site investigations and surveys after FID, FEED studies, environmental monitoring during construction, project management work undertaken or contracted out by the developer, other administrative services.</t>
  </si>
  <si>
    <t>Decommissioning Total</t>
  </si>
  <si>
    <t>Starts once first turbine is commissioned, taking the form of a new operational “all risks” policy and issues such as substation outages, design faults and collision risk become more significant as damages could result in wind farm outage.</t>
  </si>
  <si>
    <t>Further notes</t>
  </si>
  <si>
    <t>WACC (Weighted Average Cost of Capital, pre-tax, real)</t>
  </si>
  <si>
    <t>Average  wind speed at 100m above mean sea level (m/s)</t>
  </si>
  <si>
    <t>$</t>
  </si>
  <si>
    <t>Total insurance during construction phase</t>
  </si>
  <si>
    <t>Includes transportation to nearest port to supplier. Does not include installation of array cables.</t>
  </si>
  <si>
    <t>-</t>
  </si>
  <si>
    <t>Innovation Specific Questions</t>
  </si>
  <si>
    <t>Unit</t>
  </si>
  <si>
    <t>Response</t>
  </si>
  <si>
    <t>Name of stakeholder</t>
  </si>
  <si>
    <t>Text</t>
  </si>
  <si>
    <t>What innovation is your company developing?</t>
  </si>
  <si>
    <r>
      <t xml:space="preserve">Describe the expected impact of the innovation? </t>
    </r>
    <r>
      <rPr>
        <i/>
        <sz val="10"/>
        <color rgb="FF000000"/>
        <rFont val="Arial"/>
        <family val="2"/>
      </rPr>
      <t>(please indicate which element of cost or technical performance it will affect for example reduction in array cable CAPEX cost)</t>
    </r>
  </si>
  <si>
    <r>
      <t xml:space="preserve">Optional: Are there any variations to the model you would like to suggest that you would find useful? </t>
    </r>
    <r>
      <rPr>
        <i/>
        <sz val="10"/>
        <color rgb="FF000000"/>
        <rFont val="Arial"/>
        <family val="2"/>
      </rPr>
      <t>For example, different site scenarios, different financing agreements</t>
    </r>
  </si>
  <si>
    <t>Jacket</t>
  </si>
  <si>
    <t>Monopile</t>
  </si>
  <si>
    <t>Disclaimer:</t>
  </si>
  <si>
    <t>Revision 4</t>
  </si>
  <si>
    <t>Semi-sub</t>
  </si>
  <si>
    <t>BEIS Offshore Wind Programme</t>
  </si>
  <si>
    <t>F</t>
  </si>
  <si>
    <t>Installation</t>
  </si>
  <si>
    <t>Blockage effect</t>
  </si>
  <si>
    <t>Conversion factors</t>
  </si>
  <si>
    <t>Conversion factor to use</t>
  </si>
  <si>
    <t>Total Decommissioning</t>
  </si>
  <si>
    <t>Support structure</t>
  </si>
  <si>
    <t>Payment to wind turbine manufacturer for the supply of the tower.</t>
  </si>
  <si>
    <t>Operation, maintenance and service (OMS)</t>
  </si>
  <si>
    <t>Task</t>
  </si>
  <si>
    <t>Completed?</t>
  </si>
  <si>
    <t>Provide responses for all Innovation Specific Questions</t>
  </si>
  <si>
    <t>Select generic site</t>
  </si>
  <si>
    <t>Guidance</t>
  </si>
  <si>
    <t>Insert percentage changes due to technology and supply chain factors - CAPEX</t>
  </si>
  <si>
    <t>Insert percentage changes due to technology and supply chain factors - OPEX</t>
  </si>
  <si>
    <t>Insert percentage changes to energy production variables</t>
  </si>
  <si>
    <t>Complete the response sections on this tab</t>
  </si>
  <si>
    <t>Farm rating (MW)</t>
  </si>
  <si>
    <t>Lifetime (years)</t>
  </si>
  <si>
    <t>If you have cost data with a specific site in mind, then choose the generic site which is the closest match. The model will pull up baseline data for this site.
Note that the foundation type associated with this baseline data is also shown. This cannot be changed.</t>
  </si>
  <si>
    <t>Some innovations applied on sheet?</t>
  </si>
  <si>
    <t>Needs technology description</t>
  </si>
  <si>
    <t>Needs supply chain description</t>
  </si>
  <si>
    <t>Chart labels</t>
  </si>
  <si>
    <t>Task checklist</t>
  </si>
  <si>
    <t>Some innovations applied checklist</t>
  </si>
  <si>
    <t>Tasks for completion</t>
  </si>
  <si>
    <t>Includes all planning and work costs for removal of the turbines, balance of plant and transmission assets to meet legal obligations. Also includes any further environmental work after the removal of the structures.</t>
  </si>
  <si>
    <t>Includes internal and external activities such as environmental and wildlife surveys, met mast (including installation) and engineering (pre FEED) and planning studies for the generations and transmission assets.</t>
  </si>
  <si>
    <t>Describe innovation and assumptions - CAPEX</t>
  </si>
  <si>
    <t>Describe innovation and assumptions - OPEX</t>
  </si>
  <si>
    <t>Total CAPEX (£, €, $)</t>
  </si>
  <si>
    <t>Total OPEX (£, €, $/MW/annum)</t>
  </si>
  <si>
    <t>Total Decommissioning cost (£, €, $)</t>
  </si>
  <si>
    <t>£, €, $/MWh</t>
  </si>
  <si>
    <t>Payment to suppliers for the supply of the support structure comprising the foundation (including any piles or mooring, any transition piece and secondary steel work such as J-tubes and personnel access ladders and platforms).</t>
  </si>
  <si>
    <t>%</t>
  </si>
  <si>
    <t>Global assumptions</t>
  </si>
  <si>
    <t>Standard wind farm assumptions</t>
  </si>
  <si>
    <t>General</t>
  </si>
  <si>
    <t>Meteorological regime</t>
  </si>
  <si>
    <t>Array Cables</t>
  </si>
  <si>
    <t>Transmission</t>
  </si>
  <si>
    <t>Operation, maintenance and service</t>
  </si>
  <si>
    <t>Assumptions</t>
  </si>
  <si>
    <t>Cost element definitions</t>
  </si>
  <si>
    <t>Mooring configuration</t>
  </si>
  <si>
    <t>Array electrical</t>
  </si>
  <si>
    <t>Operations, maintenance and service</t>
  </si>
  <si>
    <t>Most operational activities are done using an SOV. For larger interventions, a DP vessel is used for offshore repairs. No maintenance is done by tow to shore.</t>
  </si>
  <si>
    <t>Turbines are spaced at nine rotor diameters (downwind) and six rotor diameters (across-wind) in a rectangle</t>
  </si>
  <si>
    <t>A wind farm design is used that is certificated for an operational life of 30 years</t>
  </si>
  <si>
    <t>The lowest point of the rotor sweep is at least 22 metres above mean high water spring</t>
  </si>
  <si>
    <t>The development and construction costs are funded entirely by the project developer, and</t>
  </si>
  <si>
    <t>A multi-contract approach is used to contracting for construction.</t>
  </si>
  <si>
    <t>A wind shear exponent of 0.12</t>
  </si>
  <si>
    <t>Rayleigh wind speed distribution</t>
  </si>
  <si>
    <t>A mean annual average temperature of 10°C</t>
  </si>
  <si>
    <t>The tidal range is 4m</t>
  </si>
  <si>
    <t>The Hs of 1.8m is never exceeded on more than 25% of the days at the sites furthest from shore site, and</t>
  </si>
  <si>
    <t>No storm surge is considered.</t>
  </si>
  <si>
    <t>Ground conditions are “typical”, that is, most relevant to North Sea zones, namely 10m dense sand on 15m stiff clay, only occasionally with locations with lower bearing pressure, the presence of boulders or significant gradients.</t>
  </si>
  <si>
    <t>The array cable assumption is that a three core 66kV AC on fully flexible strings is used, that is, with provision to isolate an individual turbine.</t>
  </si>
  <si>
    <t xml:space="preserve">Transmission costs are incurred as CAPEX and OPEX where appropriate. This treatment of transmission costs reflects the actual costs of building and operating, rather than the costs incurred by the asset owner.  </t>
  </si>
  <si>
    <t>Installation is carried out sequentially by the foundation, array cable, then the pre-assembled tower and turbine together.</t>
  </si>
  <si>
    <t>A single jack-up is used to install monopiles and transition pieces.</t>
  </si>
  <si>
    <t>Two jack-ups are used for jacket installation and pre-piling, collecting components from the installation port.</t>
  </si>
  <si>
    <t>Array cables are installed via J-tubes, with separate cable lay and survey and burial.</t>
  </si>
  <si>
    <t>A jack-up vessel collects components from the installation port for turbine installation.</t>
  </si>
  <si>
    <t>Decommissioning reverses the assembly process to result in installation taking one year. Piles are cut off at a depth below the sea bed, which is unlikely to lead to uncovering and cables are pulled out. Environmental monitoring is conducted at the end. The residual value and cost of scrapping is ignored.</t>
  </si>
  <si>
    <t>Transmission OPEX covers both maintenance costs and grid charges.</t>
  </si>
  <si>
    <t>Nearshore access is by service operation vessels (SOVs) or crew transfer vessels (CTVs). Jack-ups are used for major component replacement.</t>
  </si>
  <si>
    <t>Floating wind-specific assumptions</t>
  </si>
  <si>
    <t>Mike Blanch</t>
  </si>
  <si>
    <t>Kate Freeman</t>
  </si>
  <si>
    <t>Revision</t>
  </si>
  <si>
    <t>Simple Levelised Cost of Energy Model</t>
  </si>
  <si>
    <t>Innovation Impact on Levelised Cost of Energy Model</t>
  </si>
  <si>
    <t>Authored</t>
  </si>
  <si>
    <t>Checked</t>
  </si>
  <si>
    <t>Approved</t>
  </si>
  <si>
    <t>Date</t>
  </si>
  <si>
    <r>
      <t>An air density of 1.225kg/m</t>
    </r>
    <r>
      <rPr>
        <vertAlign val="superscript"/>
        <sz val="10"/>
        <color theme="1"/>
        <rFont val="Arial"/>
        <family val="2"/>
      </rPr>
      <t>3</t>
    </r>
  </si>
  <si>
    <t xml:space="preserve">Select generic site type -&gt; </t>
  </si>
  <si>
    <t>Blockage effsct</t>
  </si>
  <si>
    <t xml:space="preserve">The foundation is a semi-submersible type. </t>
  </si>
  <si>
    <t xml:space="preserve">The mooring uses chain in catenary formation. </t>
  </si>
  <si>
    <t xml:space="preserve">The mooring and array electrical system are preinstalled at-site. </t>
  </si>
  <si>
    <t xml:space="preserve">The lifetime of the farm, as designed. </t>
  </si>
  <si>
    <t xml:space="preserve">For all sites except D, the transmission is HVAC. Site D uses HVDC transmission. </t>
  </si>
  <si>
    <t>Expected LCOE impact</t>
  </si>
  <si>
    <t>This is the expected impact on LCOE for the wind farm and innovation defined on the Calculator tab</t>
  </si>
  <si>
    <t>Item</t>
  </si>
  <si>
    <t>3a</t>
  </si>
  <si>
    <t>3b</t>
  </si>
  <si>
    <t>4a</t>
  </si>
  <si>
    <t>4b</t>
  </si>
  <si>
    <t xml:space="preserve">Year 0 for discounting is 4 years before start of operations (BEIS standard approach). </t>
  </si>
  <si>
    <t>Column L will indicate rows where descriptions are required.</t>
  </si>
  <si>
    <t>A negative value represents an energy decrease and a positive value an energy increase. Changes to availability and losses should be entered as percentage points. For example an increase in availability from 92% to 95% should be entered as +3%.</t>
  </si>
  <si>
    <t>Percentage changes should represent the innovation being modelled for a project reaching FID at the modelled date.</t>
  </si>
  <si>
    <t>Innovation changes need to be inserted to at least one of the below sections (CAPEX, OPEX or energy production).</t>
  </si>
  <si>
    <t>Levelised cost of energy (LCOE)</t>
  </si>
  <si>
    <t>The model uses prices quoted in 2020 terms, expressed in £, € or $.</t>
  </si>
  <si>
    <t>Charges for OMS of the transmission asset and for use of grid.</t>
  </si>
  <si>
    <t xml:space="preserve">Real (2020) prices </t>
  </si>
  <si>
    <t>Commodity prices fixed at the average for 2020</t>
  </si>
  <si>
    <t>The turbine is certified to Class I to international offshore wind turbine design standard IEC 61400-3-1 or IEC 61400-3-2.</t>
  </si>
  <si>
    <t xml:space="preserve">Three anchors are used per floater. </t>
  </si>
  <si>
    <t>The turbine is lifted onto the floater at quayside.</t>
  </si>
  <si>
    <t xml:space="preserve">For bottom-fixed farms, a WACC of 5.5% is used. For floating farms a WACC of 6% is used. </t>
  </si>
  <si>
    <t>5% contingency applied to all post FID CAPEX.</t>
  </si>
  <si>
    <t>A 1GW wind farm, as part of a multi-gigawatt North Sea zone</t>
  </si>
  <si>
    <t>Includes all costs associated with the day-to-day running and control of the wind farm, condition monitoring, planned maintenance and health and safety inspections. Also includes unplanned service in response to actual (or prognosed) failure in the turbine or balance of plant. Also includes site rent at 2% of revenue.</t>
  </si>
  <si>
    <t>Exchange rates fixed at the average for 2020</t>
  </si>
  <si>
    <t>Note formula below assumes middle of year</t>
  </si>
  <si>
    <t>N/A</t>
  </si>
  <si>
    <t>For monopile, an indicative breakdown is foundation 30%, 
turbine 33%, array cable 25%, other 12%
For jacket, an indicative breakdown is foundation 35%, 
turbine 31%, array cable 22%, other 12%</t>
  </si>
  <si>
    <t>Life time energy loss from cut-in/cut-out hysteresis, power curve degradation, power performance loss and blade degradation.
Does not include losses due to icing effects, curtailment or wind speed inter-annual variability.</t>
  </si>
  <si>
    <t>Also known as net capacity factor. Ratio of actual net energy production to the theoretical energy production if farm generated at rated power all the time.</t>
  </si>
  <si>
    <t>Net load factor</t>
  </si>
  <si>
    <t>WACC (Weighted average cost of capital, pre-tax, real)</t>
  </si>
  <si>
    <t>Operational life</t>
  </si>
  <si>
    <t>Weighted average cost of capital from all sources of investment .</t>
  </si>
  <si>
    <t>30 year lifetime is assumed.</t>
  </si>
  <si>
    <r>
      <t xml:space="preserve">WACC </t>
    </r>
    <r>
      <rPr>
        <sz val="10"/>
        <color theme="1"/>
        <rFont val="Arial"/>
        <family val="2"/>
      </rPr>
      <t>(weighted average cost of capital, pre-tax, real)</t>
    </r>
  </si>
  <si>
    <t>Describe innovation and assumptions - energy production</t>
  </si>
  <si>
    <t>2a</t>
  </si>
  <si>
    <t>2b</t>
  </si>
  <si>
    <t>Select currency -&gt;</t>
  </si>
  <si>
    <t xml:space="preserve">While every care is taken to ensure that the information is correct within this model, BEIS and BVG Associates do not accept any responsibility for the accuracy of the information and do not accept any liability for any direct, indirect or consequential loss or damage of any nature, however caused, which may be sustained as a result of reliance upon such information. Anyone relying on the information does so at their own risk. </t>
  </si>
  <si>
    <t>This model has been produced for BEIS by BVG Associates and has been validated using published data and targeted industry engagement.</t>
  </si>
  <si>
    <t>This innovation impact on levelised cost of energy (LCOE) model calculates the impact of innovations for offshore wind farms reaching financial investment decision (FID) in 2025. There is a choice of sites.</t>
  </si>
  <si>
    <t>Includes installation of turbine, foundation and array cables. Includes transportation from nearest port to supplier, pre-assembly work at construction port, on-site installation work, commissioning for all but the turbine, scour protection.</t>
  </si>
  <si>
    <t>Gross annual energy production (AEP) (MWh/MW/yr)</t>
  </si>
  <si>
    <t>Gross load factor</t>
  </si>
  <si>
    <t>Transmission supply and installation</t>
  </si>
  <si>
    <t>Typical wake losses within a 1000MW wind farm, dependent on wind speed and turbine rating.
Does not include external wake effects from neighbouring wind farms.</t>
  </si>
  <si>
    <t>Electrical array losses between the turbines and the offshore metering point for a typical 1000MW wind farm. Excludes transmission losses, as metering point is on offshore substation.</t>
  </si>
  <si>
    <t>Loss assumed due to farm blockage effect for a 1000MW farm. This accounts for the effect of wind speed reduction upstream of a wind farm.</t>
  </si>
  <si>
    <t>The revenue required (from whatever source) to earn a rate of return on the investment equal to the discount rate (also referred to as the Weighted average cost of capital) over the life of the project.</t>
  </si>
  <si>
    <t xml:space="preserve"> Tax and inflation are not modelled. </t>
  </si>
  <si>
    <t>For turbine, an indicative breakdown is
 - Rotor, 21%
 - Nacelle 40%
 - Other 39% (includes assembly, wind turbine supplier aspects of installation and commissioning, profit and warranty).</t>
  </si>
  <si>
    <t>A semi-sub foundation type is used for floating structures. We recognise that other solutions may be just as viable.</t>
  </si>
  <si>
    <t>Turbine (excluding tower)</t>
  </si>
  <si>
    <t>Project development and consenting to FID</t>
  </si>
  <si>
    <t>Project development from FID to WCD</t>
  </si>
  <si>
    <t>Payment to wind turbine manufacturer for the supply of the nacelle and its sub-systems, the blades and hub, and the turbine electrical systems to the point of connection to the array cables. Includes assembly, wind turbine supplier aspects of installation and commissioning, profit and warranty.</t>
  </si>
  <si>
    <t>Unplanned service is about 60% of this cost.
Crew transfer vessels (CTVs) are used for day-to-day maintenance and service for sites A, B, C. Service operation vessels (SOVs) are used for day-to-day maintenance and service for sites D and F.</t>
  </si>
  <si>
    <t>Energy production</t>
  </si>
  <si>
    <t>Also known as gross capacity factor. Ratio of gross energy production to the energy production if farm generated at rated power all the  time.</t>
  </si>
  <si>
    <t>Gross energy production (MWh/MW/yr)</t>
  </si>
  <si>
    <t>Operational life (years)</t>
  </si>
  <si>
    <t>Supply chain</t>
  </si>
  <si>
    <r>
      <t>Please indicate the expected time-frame for the delivery of this innovation. What year do you believe this innovation will be present in a wind farm over 300MW</t>
    </r>
    <r>
      <rPr>
        <i/>
        <sz val="10"/>
        <rFont val="Arial"/>
        <family val="2"/>
      </rPr>
      <t xml:space="preserve"> (please indicate if multi-year)</t>
    </r>
  </si>
  <si>
    <t>Availability acounting for the loss of energy production from unavailability of the wind farm arising from whatever source including wind turbines, structures and array cables, for both scheduled and unscheduled downtime. Value is the average over the wind farm's life accounting for any lower values in the first year, improvements in early years and degradation in later years.</t>
  </si>
  <si>
    <t xml:space="preserve">It assumes a 1000 MW wind farm and provides baseline data  (including LCOE) on a choice of five site types: four fixed (A, B, C, D) and one floating (F). The user inputs estimated changes to specific project parameters they expect their technology to achieve for a project reaching FID in 2025 and the model derives a new LCOE, and a percentage change in LCOE. </t>
  </si>
  <si>
    <t>The baseline turbines have low-ratio gearboxes and mid speed, mid-voltage AC generators, with a 241m diameter rotor and a capacity of 18MW.</t>
  </si>
  <si>
    <t>Dynamic cable to the turbine and static cable for the connections along the seabed.</t>
  </si>
  <si>
    <t>The floater-turbine system is connected to this system at site and subsequently the turbine is commissioned.</t>
  </si>
  <si>
    <t>Total decommissioning</t>
  </si>
  <si>
    <t>18-25-A</t>
  </si>
  <si>
    <t>18-25-B</t>
  </si>
  <si>
    <t>18-25-C</t>
  </si>
  <si>
    <t>18-25-D</t>
  </si>
  <si>
    <t>18-25-F</t>
  </si>
  <si>
    <t>Impact definitions</t>
  </si>
  <si>
    <t>Modifications to designs to improve reliability</t>
  </si>
  <si>
    <t>Jacket support structure</t>
  </si>
  <si>
    <t>Substantively new manufacturing processes</t>
  </si>
  <si>
    <t>Array cable installation</t>
  </si>
  <si>
    <t>New processes or tooling to improve installation</t>
  </si>
  <si>
    <t>Improving efficiency and avoiding errors</t>
  </si>
  <si>
    <t>Technology change</t>
  </si>
  <si>
    <t>Supply Chain change</t>
  </si>
  <si>
    <t>Improvements in manufacturing efficiency due to being able to increase volumes</t>
  </si>
  <si>
    <t>Improved efficiency, from an evolved manufacturing processes</t>
  </si>
  <si>
    <t>A faster and more stable work boat</t>
  </si>
  <si>
    <t xml:space="preserve">A means to providing work boats at lower-cost </t>
  </si>
  <si>
    <r>
      <t xml:space="preserve">The </t>
    </r>
    <r>
      <rPr>
        <i/>
        <sz val="10"/>
        <color theme="1"/>
        <rFont val="Arial"/>
        <family val="2"/>
      </rPr>
      <t>Calculator</t>
    </r>
    <r>
      <rPr>
        <sz val="10"/>
        <color theme="1"/>
        <rFont val="Arial"/>
        <family val="2"/>
      </rPr>
      <t xml:space="preserve"> sheet has space to seperately enter changes due to technology and due to supply chain. </t>
    </r>
  </si>
  <si>
    <t>There can be links between technology and supply chain, for example where the introduction of a new technology has an impact on the competitive landscape. Also there is a continuum of innovations, at some point along which there is boundary between what is considered technology and what is considered supply chain. The table below gives examples of the types of innovations considered technology and supply chain.</t>
  </si>
  <si>
    <t>Base Data - 18MW - FID 2025</t>
  </si>
  <si>
    <t xml:space="preserve">Name revised to better reflect nature of model
18MW turbine now used </t>
  </si>
  <si>
    <t>Supply, cable laying, and construction of transmission assets from where array cables enter the offshore substation.</t>
  </si>
  <si>
    <t>Five generic site types</t>
  </si>
  <si>
    <t>How have you predicted the expected innovation impact?</t>
  </si>
  <si>
    <t>Wind turbine</t>
  </si>
  <si>
    <t>Supply chain innovations are changes in the supply chain.</t>
  </si>
  <si>
    <t>Technology innovations are changes in product, component design and process.</t>
  </si>
  <si>
    <t xml:space="preserve">This model is intended to give a percentage impact on LCOE from one or more innovations. This model is not intended to be used as a predictor of absolute LCOE. </t>
  </si>
  <si>
    <t>While the base technology and the way it varies between sites is plausible it is not intended to be a recommendation of the technology to use.</t>
  </si>
  <si>
    <t>Note that the model does not allow changes to operational life or WACC</t>
  </si>
  <si>
    <t>Description of assumptions/preconditions that gives rise to any change:</t>
  </si>
  <si>
    <t>Decommissioning: (£000s/MW/yr)</t>
  </si>
  <si>
    <t>Bruce Valpy</t>
  </si>
  <si>
    <t>If you think there will be significant changes to the operational life or WACC please states these and why in the Column J or K.</t>
  </si>
  <si>
    <r>
      <t xml:space="preserve">1 - Insert answers to questions on the </t>
    </r>
    <r>
      <rPr>
        <i/>
        <sz val="10"/>
        <color theme="1"/>
        <rFont val="Arial"/>
        <family val="2"/>
      </rPr>
      <t>Stakeholder</t>
    </r>
    <r>
      <rPr>
        <sz val="10"/>
        <color theme="1"/>
        <rFont val="Arial"/>
        <family val="2"/>
      </rPr>
      <t xml:space="preserve"> sheet.</t>
    </r>
    <r>
      <rPr>
        <sz val="10"/>
        <color theme="4"/>
        <rFont val="Arial"/>
        <family val="2"/>
      </rPr>
      <t xml:space="preserve">
</t>
    </r>
  </si>
  <si>
    <r>
      <t xml:space="preserve">2 - Use the </t>
    </r>
    <r>
      <rPr>
        <i/>
        <sz val="10"/>
        <color theme="1"/>
        <rFont val="Arial"/>
        <family val="2"/>
      </rPr>
      <t>Calculator</t>
    </r>
    <r>
      <rPr>
        <sz val="10"/>
        <color theme="1"/>
        <rFont val="Arial"/>
        <family val="2"/>
      </rPr>
      <t xml:space="preserve"> sheet to determine the expected impact of the innovation. See the sheet for specific instructions and the </t>
    </r>
    <r>
      <rPr>
        <i/>
        <sz val="10"/>
        <color theme="1"/>
        <rFont val="Arial"/>
        <family val="2"/>
      </rPr>
      <t>Definitions</t>
    </r>
    <r>
      <rPr>
        <sz val="10"/>
        <color theme="1"/>
        <rFont val="Arial"/>
        <family val="2"/>
      </rPr>
      <t xml:space="preserve"> sheet for an explanation of the terms used</t>
    </r>
  </si>
  <si>
    <t>Relative to site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</si>
</sst>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quot;£&quot;* #,##0.00_-;_-&quot;£&quot;* &quot;-&quot;??_-;_-@_-"/>
    <numFmt numFmtId="43" formatCode="_-* #,##0.00_-;\-* #,##0.00_-;_-* &quot;-&quot;??_-;_-@_-"/>
    <numFmt numFmtId="164" formatCode="_-&quot;£&quot;* #,##0_-;\-&quot;£&quot;* #,##0_-;_-&quot;£&quot;* &quot;-&quot;??_-;_-@_-"/>
    <numFmt numFmtId="165" formatCode="0.0%"/>
    <numFmt numFmtId="166" formatCode="_-* #,##0_-;\-* #,##0_-;_-* &quot;-&quot;??_-;_-@_-"/>
    <numFmt numFmtId="167" formatCode="_-* #,##0.000_-;\-* #,##0.000_-;_-* &quot;-&quot;??_-;_-@_-"/>
    <numFmt numFmtId="168" formatCode="_-* #,##0.000_-;\-* #,##0.000_-;_-* &quot;-&quot;???_-;_-@_-"/>
    <numFmt numFmtId="169" formatCode="_-* #,##0_-;\-* #,##0_-;_-* &quot;-&quot;???_-;_-@_-"/>
    <numFmt numFmtId="170" formatCode="\+0%;\-0%"/>
    <numFmt numFmtId="171" formatCode="_-* #,##0.0_-;\-* #,##0.0_-;_-* &quot;-&quot;??_-;_-@_-"/>
    <numFmt numFmtId="172" formatCode="0.0"/>
    <numFmt numFmtId="173" formatCode="#,##0_ ;\-#,##0\ "/>
    <numFmt numFmtId="174" formatCode="_-* #,##0.0000_-;\-* #,##0.0000_-;_-* &quot;-&quot;????_-;_-@_-"/>
    <numFmt numFmtId="175" formatCode="[$-F800]dddd\,\ mmmm\ dd\,\ yyyy"/>
  </numFmts>
  <fonts count="50" x14ac:knownFonts="1">
    <font>
      <sz val="11"/>
      <color theme="1"/>
      <name val="Calibri"/>
      <family val="2"/>
    </font>
    <font>
      <sz val="9"/>
      <color theme="1"/>
      <name val="Arial"/>
      <family val="2"/>
    </font>
    <font>
      <sz val="10"/>
      <color theme="1"/>
      <name val="Arial"/>
      <family val="2"/>
    </font>
    <font>
      <sz val="10"/>
      <color theme="1"/>
      <name val="Arial"/>
      <family val="2"/>
    </font>
    <font>
      <sz val="11"/>
      <color theme="1"/>
      <name val="Calibri"/>
      <family val="2"/>
    </font>
    <font>
      <b/>
      <sz val="10"/>
      <color theme="1"/>
      <name val="Arial"/>
      <family val="2"/>
    </font>
    <font>
      <sz val="10"/>
      <color theme="1"/>
      <name val="Arial"/>
      <family val="2"/>
    </font>
    <font>
      <i/>
      <sz val="10"/>
      <color theme="1"/>
      <name val="Arial"/>
      <family val="2"/>
    </font>
    <font>
      <sz val="8"/>
      <color indexed="81"/>
      <name val="Tahoma"/>
      <family val="2"/>
    </font>
    <font>
      <sz val="10"/>
      <name val="Arial"/>
      <family val="2"/>
    </font>
    <font>
      <b/>
      <sz val="10"/>
      <name val="Arial"/>
      <family val="2"/>
    </font>
    <font>
      <sz val="10"/>
      <color indexed="12"/>
      <name val="Arial"/>
      <family val="2"/>
    </font>
    <font>
      <sz val="10"/>
      <color rgb="FF0000FF"/>
      <name val="Arial"/>
      <family val="2"/>
    </font>
    <font>
      <b/>
      <sz val="10"/>
      <color rgb="FF0000FF"/>
      <name val="Arial"/>
      <family val="2"/>
    </font>
    <font>
      <i/>
      <sz val="10"/>
      <color rgb="FF0000FF"/>
      <name val="Arial"/>
      <family val="2"/>
    </font>
    <font>
      <b/>
      <sz val="10"/>
      <color rgb="FF000000"/>
      <name val="Arial"/>
      <family val="2"/>
    </font>
    <font>
      <sz val="10"/>
      <color rgb="FF000000"/>
      <name val="Arial"/>
      <family val="2"/>
    </font>
    <font>
      <sz val="10"/>
      <color rgb="FFFF0000"/>
      <name val="Arial"/>
      <family val="2"/>
    </font>
    <font>
      <b/>
      <sz val="24"/>
      <color theme="1"/>
      <name val="Arial"/>
      <family val="2"/>
    </font>
    <font>
      <sz val="11"/>
      <color theme="1"/>
      <name val="Arial"/>
      <family val="2"/>
    </font>
    <font>
      <b/>
      <sz val="11"/>
      <color theme="1"/>
      <name val="Arial"/>
      <family val="2"/>
    </font>
    <font>
      <sz val="11"/>
      <name val="Arial"/>
      <family val="2"/>
    </font>
    <font>
      <sz val="9"/>
      <color theme="1"/>
      <name val="Arial"/>
      <family val="2"/>
    </font>
    <font>
      <u/>
      <sz val="11"/>
      <color theme="10"/>
      <name val="Calibri"/>
      <family val="2"/>
    </font>
    <font>
      <i/>
      <sz val="10"/>
      <color rgb="FF000000"/>
      <name val="Arial"/>
      <family val="2"/>
    </font>
    <font>
      <i/>
      <sz val="9"/>
      <color rgb="FF7F7F7F"/>
      <name val="Arial"/>
      <family val="2"/>
    </font>
    <font>
      <b/>
      <sz val="10"/>
      <color rgb="FFFF0000"/>
      <name val="Arial"/>
      <family val="2"/>
    </font>
    <font>
      <sz val="9"/>
      <color rgb="FFFF0000"/>
      <name val="Arial"/>
      <family val="2"/>
    </font>
    <font>
      <sz val="10"/>
      <color theme="0" tint="-0.499984740745262"/>
      <name val="Arial"/>
      <family val="2"/>
    </font>
    <font>
      <vertAlign val="superscript"/>
      <sz val="10"/>
      <color theme="1"/>
      <name val="Arial"/>
      <family val="2"/>
    </font>
    <font>
      <u/>
      <sz val="11"/>
      <color theme="11"/>
      <name val="Calibri"/>
      <family val="2"/>
    </font>
    <font>
      <sz val="9"/>
      <color rgb="FF3F3F76"/>
      <name val="Arial"/>
      <family val="2"/>
    </font>
    <font>
      <b/>
      <sz val="9"/>
      <color rgb="FF3F3F3F"/>
      <name val="Arial"/>
      <family val="2"/>
    </font>
    <font>
      <b/>
      <sz val="9"/>
      <color rgb="FFFA7D00"/>
      <name val="Arial"/>
      <family val="2"/>
    </font>
    <font>
      <sz val="9"/>
      <color rgb="FFFA7D00"/>
      <name val="Arial"/>
      <family val="2"/>
    </font>
    <font>
      <b/>
      <sz val="9"/>
      <color theme="0"/>
      <name val="Arial"/>
      <family val="2"/>
    </font>
    <font>
      <b/>
      <i/>
      <sz val="10"/>
      <color theme="1"/>
      <name val="Arial"/>
      <family val="2"/>
    </font>
    <font>
      <sz val="9"/>
      <color rgb="FF000000"/>
      <name val="Arial"/>
      <family val="2"/>
    </font>
    <font>
      <u/>
      <sz val="11"/>
      <color theme="1"/>
      <name val="Arial"/>
      <family val="2"/>
    </font>
    <font>
      <u/>
      <sz val="10"/>
      <color theme="1"/>
      <name val="Arial"/>
      <family val="2"/>
    </font>
    <font>
      <sz val="10"/>
      <color theme="0" tint="-0.34998626667073579"/>
      <name val="Arial"/>
      <family val="2"/>
    </font>
    <font>
      <b/>
      <sz val="10"/>
      <color theme="0" tint="-0.34998626667073579"/>
      <name val="Arial"/>
      <family val="2"/>
    </font>
    <font>
      <sz val="11"/>
      <color theme="1"/>
      <name val="Calibri"/>
      <family val="2"/>
      <scheme val="minor"/>
    </font>
    <font>
      <b/>
      <u/>
      <sz val="10"/>
      <color theme="1"/>
      <name val="Arial"/>
      <family val="2"/>
    </font>
    <font>
      <sz val="10"/>
      <color theme="6" tint="-0.24994659260841701"/>
      <name val="Arial"/>
      <family val="2"/>
    </font>
    <font>
      <b/>
      <sz val="9"/>
      <color rgb="FFFFFFFF"/>
      <name val="Arial"/>
      <family val="2"/>
    </font>
    <font>
      <sz val="9"/>
      <color rgb="FF0070C0"/>
      <name val="Arial"/>
      <family val="2"/>
    </font>
    <font>
      <i/>
      <sz val="10"/>
      <name val="Arial"/>
      <family val="2"/>
    </font>
    <font>
      <sz val="8"/>
      <color theme="1"/>
      <name val="Arial"/>
      <family val="2"/>
    </font>
    <font>
      <sz val="10"/>
      <color theme="4"/>
      <name val="Arial"/>
      <family val="2"/>
    </font>
  </fonts>
  <fills count="13">
    <fill>
      <patternFill patternType="none"/>
    </fill>
    <fill>
      <patternFill patternType="gray125"/>
    </fill>
    <fill>
      <patternFill patternType="solid">
        <fgColor rgb="FFFFC000"/>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theme="0" tint="-0.249977111117893"/>
        <bgColor indexed="64"/>
      </patternFill>
    </fill>
    <fill>
      <patternFill patternType="solid">
        <fgColor rgb="FF3B499F"/>
        <bgColor indexed="64"/>
      </patternFill>
    </fill>
    <fill>
      <patternFill patternType="solid">
        <fgColor rgb="FFD3D8EF"/>
        <bgColor indexed="64"/>
      </patternFill>
    </fill>
  </fills>
  <borders count="52">
    <border>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21">
    <xf numFmtId="0" fontId="0"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1" fillId="0" borderId="24"/>
    <xf numFmtId="0" fontId="9" fillId="0" borderId="24"/>
    <xf numFmtId="0" fontId="25" fillId="0" borderId="0" applyNumberFormat="0" applyFill="0" applyBorder="0" applyAlignment="0" applyProtection="0"/>
    <xf numFmtId="0" fontId="23" fillId="0" borderId="0" applyNumberFormat="0" applyFill="0" applyBorder="0" applyAlignment="0" applyProtection="0"/>
    <xf numFmtId="0" fontId="30" fillId="0" borderId="0" applyNumberFormat="0" applyFill="0" applyBorder="0" applyAlignment="0" applyProtection="0"/>
    <xf numFmtId="0" fontId="31" fillId="7" borderId="35" applyNumberFormat="0" applyAlignment="0" applyProtection="0"/>
    <xf numFmtId="0" fontId="32" fillId="8" borderId="36" applyNumberFormat="0" applyAlignment="0" applyProtection="0"/>
    <xf numFmtId="0" fontId="33" fillId="8" borderId="35" applyNumberFormat="0" applyAlignment="0" applyProtection="0"/>
    <xf numFmtId="0" fontId="34" fillId="0" borderId="37" applyNumberFormat="0" applyFill="0" applyAlignment="0" applyProtection="0"/>
    <xf numFmtId="0" fontId="35" fillId="9" borderId="38" applyNumberFormat="0" applyAlignment="0" applyProtection="0"/>
    <xf numFmtId="0" fontId="27" fillId="0" borderId="0" applyNumberFormat="0" applyFill="0" applyBorder="0" applyAlignment="0" applyProtection="0"/>
    <xf numFmtId="0" fontId="37" fillId="0" borderId="24" applyNumberFormat="0">
      <alignment horizontal="center" vertical="center" wrapText="1"/>
    </xf>
    <xf numFmtId="0" fontId="42" fillId="0" borderId="0"/>
    <xf numFmtId="166" fontId="44" fillId="0" borderId="0">
      <alignment vertical="center"/>
    </xf>
    <xf numFmtId="0" fontId="45" fillId="11" borderId="24" applyNumberFormat="0">
      <alignment horizontal="center" vertical="center" wrapText="1"/>
    </xf>
    <xf numFmtId="0" fontId="1" fillId="12" borderId="24" applyNumberFormat="0">
      <alignment horizontal="center" vertical="center" wrapText="1"/>
    </xf>
    <xf numFmtId="0" fontId="46" fillId="0" borderId="24" applyNumberFormat="0">
      <alignment horizontal="center" vertical="center" wrapText="1"/>
    </xf>
  </cellStyleXfs>
  <cellXfs count="441">
    <xf numFmtId="0" fontId="0" fillId="0" borderId="0" xfId="0"/>
    <xf numFmtId="165" fontId="11" fillId="0" borderId="24" xfId="3" applyNumberFormat="1" applyFont="1" applyBorder="1"/>
    <xf numFmtId="166" fontId="11" fillId="0" borderId="24" xfId="1" applyNumberFormat="1" applyFont="1" applyBorder="1"/>
    <xf numFmtId="0" fontId="2" fillId="0" borderId="0" xfId="0" applyFont="1" applyBorder="1" applyProtection="1"/>
    <xf numFmtId="0" fontId="6" fillId="0" borderId="0" xfId="0" applyNumberFormat="1" applyFont="1" applyProtection="1"/>
    <xf numFmtId="0" fontId="5" fillId="2" borderId="2" xfId="0" applyFont="1" applyFill="1" applyBorder="1" applyAlignment="1" applyProtection="1">
      <alignment wrapText="1"/>
    </xf>
    <xf numFmtId="0" fontId="6" fillId="2" borderId="3" xfId="0" applyFont="1" applyFill="1" applyBorder="1" applyProtection="1"/>
    <xf numFmtId="0" fontId="6" fillId="2" borderId="2" xfId="0" applyFont="1" applyFill="1" applyBorder="1" applyProtection="1"/>
    <xf numFmtId="0" fontId="6" fillId="2" borderId="0" xfId="0" applyFont="1" applyFill="1" applyBorder="1" applyProtection="1"/>
    <xf numFmtId="0" fontId="6" fillId="2" borderId="17" xfId="0" applyFont="1" applyFill="1" applyBorder="1" applyProtection="1"/>
    <xf numFmtId="0" fontId="5" fillId="0" borderId="0" xfId="0" applyFont="1" applyFill="1" applyBorder="1" applyAlignment="1" applyProtection="1">
      <alignment wrapText="1"/>
    </xf>
    <xf numFmtId="0" fontId="6" fillId="0" borderId="1" xfId="0" applyFont="1" applyFill="1" applyBorder="1" applyProtection="1"/>
    <xf numFmtId="0" fontId="6" fillId="0" borderId="0" xfId="0" applyFont="1" applyFill="1" applyBorder="1" applyProtection="1"/>
    <xf numFmtId="0" fontId="6" fillId="0" borderId="17" xfId="0" applyFont="1" applyFill="1" applyBorder="1" applyProtection="1"/>
    <xf numFmtId="0" fontId="6" fillId="0" borderId="0" xfId="0" applyFont="1" applyFill="1" applyBorder="1" applyAlignment="1" applyProtection="1">
      <alignment wrapText="1"/>
    </xf>
    <xf numFmtId="0" fontId="6" fillId="0" borderId="1" xfId="0" applyFont="1" applyBorder="1" applyProtection="1"/>
    <xf numFmtId="0" fontId="6" fillId="0" borderId="0" xfId="0" applyFont="1" applyProtection="1"/>
    <xf numFmtId="0" fontId="6" fillId="0" borderId="0" xfId="0" applyFont="1" applyBorder="1" applyProtection="1"/>
    <xf numFmtId="0" fontId="7" fillId="0" borderId="0" xfId="0" applyFont="1" applyFill="1" applyBorder="1" applyAlignment="1" applyProtection="1">
      <alignment wrapText="1"/>
    </xf>
    <xf numFmtId="164" fontId="5" fillId="0" borderId="0" xfId="2" applyNumberFormat="1" applyFont="1" applyFill="1" applyBorder="1" applyAlignment="1" applyProtection="1">
      <alignment vertical="center"/>
    </xf>
    <xf numFmtId="165" fontId="7" fillId="0" borderId="0" xfId="3" applyNumberFormat="1" applyFont="1" applyFill="1" applyAlignment="1" applyProtection="1">
      <alignment vertical="center"/>
    </xf>
    <xf numFmtId="9" fontId="6" fillId="0" borderId="0" xfId="3" applyFont="1" applyFill="1" applyBorder="1" applyProtection="1"/>
    <xf numFmtId="9" fontId="6" fillId="0" borderId="17" xfId="3" applyFont="1" applyFill="1" applyBorder="1" applyProtection="1"/>
    <xf numFmtId="164" fontId="7" fillId="0" borderId="0" xfId="2" applyNumberFormat="1" applyFont="1" applyFill="1" applyBorder="1" applyAlignment="1" applyProtection="1">
      <alignment vertical="center"/>
    </xf>
    <xf numFmtId="164" fontId="6" fillId="0" borderId="0" xfId="2" applyNumberFormat="1" applyFont="1" applyFill="1" applyBorder="1" applyAlignment="1" applyProtection="1">
      <alignment vertical="center"/>
    </xf>
    <xf numFmtId="164" fontId="6" fillId="0" borderId="0" xfId="2" applyNumberFormat="1" applyFont="1" applyFill="1" applyAlignment="1" applyProtection="1">
      <alignment vertical="center"/>
    </xf>
    <xf numFmtId="0" fontId="5" fillId="0" borderId="4" xfId="0" applyFont="1" applyFill="1" applyBorder="1" applyAlignment="1" applyProtection="1">
      <alignment wrapText="1"/>
    </xf>
    <xf numFmtId="164" fontId="5" fillId="0" borderId="4" xfId="2" applyNumberFormat="1" applyFont="1" applyFill="1" applyBorder="1" applyAlignment="1" applyProtection="1">
      <alignment vertical="center"/>
    </xf>
    <xf numFmtId="0" fontId="6" fillId="0" borderId="4" xfId="0" applyFont="1" applyFill="1" applyBorder="1" applyProtection="1"/>
    <xf numFmtId="0" fontId="6" fillId="0" borderId="5" xfId="0" applyFont="1" applyFill="1" applyBorder="1" applyProtection="1"/>
    <xf numFmtId="9" fontId="6" fillId="0" borderId="0" xfId="0" applyNumberFormat="1" applyFont="1" applyFill="1" applyBorder="1" applyProtection="1"/>
    <xf numFmtId="9" fontId="6" fillId="0" borderId="17" xfId="0" applyNumberFormat="1" applyFont="1" applyFill="1" applyBorder="1" applyProtection="1"/>
    <xf numFmtId="0" fontId="6" fillId="0" borderId="1" xfId="0" applyFont="1" applyFill="1" applyBorder="1" applyAlignment="1" applyProtection="1">
      <alignment wrapText="1"/>
    </xf>
    <xf numFmtId="9" fontId="6" fillId="0" borderId="26" xfId="3" applyFont="1" applyFill="1" applyBorder="1" applyProtection="1"/>
    <xf numFmtId="0" fontId="6" fillId="0" borderId="5" xfId="0" applyFont="1" applyFill="1" applyBorder="1" applyAlignment="1" applyProtection="1">
      <alignment wrapText="1"/>
    </xf>
    <xf numFmtId="0" fontId="6" fillId="0" borderId="0" xfId="0" applyFont="1" applyFill="1" applyBorder="1" applyAlignment="1" applyProtection="1">
      <alignment vertical="center"/>
    </xf>
    <xf numFmtId="0" fontId="6" fillId="0" borderId="0" xfId="0" applyFont="1" applyFill="1" applyAlignment="1" applyProtection="1">
      <alignment vertical="center"/>
    </xf>
    <xf numFmtId="166" fontId="7" fillId="0" borderId="0" xfId="1" applyNumberFormat="1" applyFont="1" applyFill="1" applyBorder="1" applyProtection="1"/>
    <xf numFmtId="166" fontId="7" fillId="0" borderId="17" xfId="1" applyNumberFormat="1" applyFont="1" applyFill="1" applyBorder="1" applyProtection="1"/>
    <xf numFmtId="0" fontId="7" fillId="0" borderId="1" xfId="0" applyFont="1" applyFill="1" applyBorder="1" applyAlignment="1" applyProtection="1"/>
    <xf numFmtId="0" fontId="7" fillId="0" borderId="0" xfId="0" applyFont="1" applyFill="1" applyBorder="1" applyAlignment="1" applyProtection="1"/>
    <xf numFmtId="3" fontId="6" fillId="0" borderId="0" xfId="0" applyNumberFormat="1" applyFont="1" applyFill="1" applyBorder="1" applyAlignment="1" applyProtection="1">
      <alignment horizontal="right" vertical="center"/>
    </xf>
    <xf numFmtId="9" fontId="6" fillId="0" borderId="0" xfId="0" applyNumberFormat="1" applyFont="1" applyFill="1" applyBorder="1" applyAlignment="1" applyProtection="1">
      <alignment wrapText="1"/>
    </xf>
    <xf numFmtId="9" fontId="6" fillId="0" borderId="17" xfId="0" applyNumberFormat="1" applyFont="1" applyFill="1" applyBorder="1" applyAlignment="1" applyProtection="1">
      <alignment wrapText="1"/>
    </xf>
    <xf numFmtId="166" fontId="5" fillId="0" borderId="0" xfId="1" applyNumberFormat="1" applyFont="1" applyFill="1" applyBorder="1" applyAlignment="1" applyProtection="1">
      <alignment vertical="center"/>
    </xf>
    <xf numFmtId="166" fontId="5" fillId="0" borderId="0" xfId="1" applyNumberFormat="1" applyFont="1" applyFill="1" applyAlignment="1" applyProtection="1">
      <alignment vertical="center"/>
    </xf>
    <xf numFmtId="166" fontId="6" fillId="0" borderId="0" xfId="0" applyNumberFormat="1" applyFont="1" applyFill="1" applyBorder="1" applyProtection="1"/>
    <xf numFmtId="166" fontId="6" fillId="0" borderId="17" xfId="0" applyNumberFormat="1" applyFont="1" applyFill="1" applyBorder="1" applyProtection="1"/>
    <xf numFmtId="0" fontId="6" fillId="0" borderId="1" xfId="0" applyFont="1" applyFill="1" applyBorder="1" applyAlignment="1" applyProtection="1"/>
    <xf numFmtId="167" fontId="6" fillId="0" borderId="0" xfId="1" applyNumberFormat="1" applyFont="1" applyFill="1" applyBorder="1" applyProtection="1"/>
    <xf numFmtId="167" fontId="6" fillId="0" borderId="17" xfId="1" applyNumberFormat="1" applyFont="1" applyFill="1" applyBorder="1" applyProtection="1"/>
    <xf numFmtId="0" fontId="5" fillId="2" borderId="0" xfId="0" applyFont="1" applyFill="1" applyAlignment="1" applyProtection="1">
      <alignment wrapText="1"/>
    </xf>
    <xf numFmtId="0" fontId="6" fillId="2" borderId="1" xfId="0" applyFont="1" applyFill="1" applyBorder="1" applyProtection="1"/>
    <xf numFmtId="0" fontId="6" fillId="2" borderId="0" xfId="0" applyFont="1" applyFill="1" applyProtection="1"/>
    <xf numFmtId="0" fontId="6" fillId="0" borderId="0" xfId="0" applyFont="1" applyAlignment="1" applyProtection="1">
      <alignment wrapText="1"/>
    </xf>
    <xf numFmtId="166" fontId="6" fillId="0" borderId="1" xfId="1" applyNumberFormat="1" applyFont="1" applyBorder="1" applyProtection="1"/>
    <xf numFmtId="168" fontId="6" fillId="0" borderId="0" xfId="0" applyNumberFormat="1" applyFont="1" applyBorder="1" applyProtection="1"/>
    <xf numFmtId="169" fontId="6" fillId="0" borderId="0" xfId="0" applyNumberFormat="1" applyFont="1" applyBorder="1" applyProtection="1"/>
    <xf numFmtId="169" fontId="6" fillId="0" borderId="17" xfId="0" applyNumberFormat="1" applyFont="1" applyBorder="1" applyProtection="1"/>
    <xf numFmtId="0" fontId="5" fillId="2" borderId="0" xfId="0" applyFont="1" applyFill="1" applyProtection="1"/>
    <xf numFmtId="0" fontId="6" fillId="0" borderId="17" xfId="0" applyFont="1" applyBorder="1" applyProtection="1"/>
    <xf numFmtId="0" fontId="5" fillId="6" borderId="0" xfId="0" applyFont="1" applyFill="1" applyBorder="1" applyAlignment="1" applyProtection="1">
      <alignment wrapText="1"/>
    </xf>
    <xf numFmtId="0" fontId="6" fillId="6" borderId="1" xfId="0" applyFont="1" applyFill="1" applyBorder="1" applyProtection="1"/>
    <xf numFmtId="0" fontId="6" fillId="6" borderId="0" xfId="0" applyFont="1" applyFill="1" applyBorder="1" applyProtection="1"/>
    <xf numFmtId="0" fontId="6" fillId="6" borderId="17" xfId="0" applyFont="1" applyFill="1" applyBorder="1" applyProtection="1"/>
    <xf numFmtId="3" fontId="5" fillId="3" borderId="0" xfId="0" applyNumberFormat="1" applyFont="1" applyFill="1" applyBorder="1" applyAlignment="1" applyProtection="1">
      <alignment horizontal="right" vertical="center"/>
    </xf>
    <xf numFmtId="43" fontId="6" fillId="0" borderId="1" xfId="0" applyNumberFormat="1" applyFont="1" applyBorder="1" applyProtection="1"/>
    <xf numFmtId="9" fontId="6" fillId="0" borderId="34" xfId="3" applyFont="1" applyFill="1" applyBorder="1" applyProtection="1"/>
    <xf numFmtId="10" fontId="5" fillId="3" borderId="0" xfId="0" applyNumberFormat="1" applyFont="1" applyFill="1" applyBorder="1" applyProtection="1"/>
    <xf numFmtId="171" fontId="5" fillId="2" borderId="1" xfId="1" applyNumberFormat="1" applyFont="1" applyFill="1" applyBorder="1" applyProtection="1"/>
    <xf numFmtId="165" fontId="6" fillId="0" borderId="0" xfId="3" applyNumberFormat="1" applyFont="1" applyFill="1" applyBorder="1" applyProtection="1"/>
    <xf numFmtId="0" fontId="9" fillId="0" borderId="0" xfId="0" applyFont="1"/>
    <xf numFmtId="0" fontId="9" fillId="0" borderId="6" xfId="0" applyFont="1" applyBorder="1"/>
    <xf numFmtId="0" fontId="11" fillId="0" borderId="6" xfId="0" applyNumberFormat="1" applyFont="1" applyFill="1" applyBorder="1"/>
    <xf numFmtId="0" fontId="9" fillId="5" borderId="6" xfId="0" applyFont="1" applyFill="1" applyBorder="1"/>
    <xf numFmtId="0" fontId="5" fillId="0" borderId="26" xfId="0" applyFont="1" applyFill="1" applyBorder="1" applyProtection="1"/>
    <xf numFmtId="0" fontId="5" fillId="0" borderId="24" xfId="0" applyFont="1" applyFill="1" applyBorder="1" applyProtection="1"/>
    <xf numFmtId="0" fontId="7" fillId="0" borderId="0" xfId="0" applyFont="1" applyFill="1" applyAlignment="1" applyProtection="1">
      <alignment horizontal="right"/>
    </xf>
    <xf numFmtId="166" fontId="5" fillId="0" borderId="24" xfId="0" applyNumberFormat="1" applyFont="1" applyFill="1" applyBorder="1" applyProtection="1"/>
    <xf numFmtId="0" fontId="5" fillId="0" borderId="24" xfId="0" applyFont="1" applyFill="1" applyBorder="1" applyAlignment="1" applyProtection="1">
      <alignment horizontal="center"/>
    </xf>
    <xf numFmtId="0" fontId="5" fillId="0" borderId="0" xfId="0" applyFont="1" applyFill="1" applyBorder="1" applyProtection="1"/>
    <xf numFmtId="166" fontId="5" fillId="0" borderId="0" xfId="0" applyNumberFormat="1" applyFont="1" applyFill="1" applyBorder="1" applyProtection="1"/>
    <xf numFmtId="0" fontId="5" fillId="0" borderId="0" xfId="0" applyFont="1" applyFill="1" applyProtection="1"/>
    <xf numFmtId="0" fontId="5" fillId="0" borderId="14" xfId="0" applyFont="1" applyFill="1" applyBorder="1" applyProtection="1"/>
    <xf numFmtId="0" fontId="5" fillId="0" borderId="15" xfId="0" applyNumberFormat="1" applyFont="1" applyBorder="1" applyAlignment="1" applyProtection="1">
      <alignment horizontal="center"/>
    </xf>
    <xf numFmtId="0" fontId="5" fillId="0" borderId="25" xfId="0" applyFont="1" applyBorder="1" applyAlignment="1" applyProtection="1">
      <alignment vertical="top"/>
    </xf>
    <xf numFmtId="0" fontId="5" fillId="0" borderId="2" xfId="0" applyFont="1" applyBorder="1" applyAlignment="1" applyProtection="1">
      <alignment vertical="top" wrapText="1"/>
    </xf>
    <xf numFmtId="0" fontId="5" fillId="0" borderId="17" xfId="0" applyFont="1" applyFill="1" applyBorder="1" applyAlignment="1" applyProtection="1">
      <alignment vertical="top"/>
    </xf>
    <xf numFmtId="0" fontId="5" fillId="0" borderId="18" xfId="0" applyFont="1" applyBorder="1" applyAlignment="1" applyProtection="1">
      <alignment vertical="top"/>
    </xf>
    <xf numFmtId="0" fontId="5" fillId="0" borderId="24" xfId="0" applyFont="1" applyBorder="1" applyAlignment="1" applyProtection="1">
      <alignment vertical="top"/>
    </xf>
    <xf numFmtId="166" fontId="12" fillId="0" borderId="8" xfId="1" applyNumberFormat="1" applyFont="1" applyBorder="1" applyAlignment="1" applyProtection="1">
      <alignment vertical="top"/>
    </xf>
    <xf numFmtId="166" fontId="12" fillId="0" borderId="8" xfId="1" applyNumberFormat="1" applyFont="1" applyFill="1" applyBorder="1" applyAlignment="1" applyProtection="1">
      <alignment vertical="top"/>
    </xf>
    <xf numFmtId="0" fontId="5" fillId="0" borderId="21" xfId="0" applyFont="1" applyBorder="1" applyAlignment="1" applyProtection="1">
      <alignment vertical="top"/>
    </xf>
    <xf numFmtId="166" fontId="13" fillId="0" borderId="22" xfId="1" applyNumberFormat="1" applyFont="1" applyBorder="1" applyAlignment="1" applyProtection="1">
      <alignment vertical="top"/>
    </xf>
    <xf numFmtId="0" fontId="5" fillId="0" borderId="11" xfId="0" applyFont="1" applyBorder="1" applyAlignment="1" applyProtection="1">
      <alignment vertical="top"/>
    </xf>
    <xf numFmtId="0" fontId="5" fillId="0" borderId="13" xfId="0" applyFont="1" applyBorder="1" applyAlignment="1" applyProtection="1">
      <alignment vertical="top"/>
    </xf>
    <xf numFmtId="166" fontId="5" fillId="0" borderId="0" xfId="1" applyNumberFormat="1" applyFont="1" applyFill="1" applyBorder="1" applyAlignment="1" applyProtection="1">
      <alignment vertical="top"/>
    </xf>
    <xf numFmtId="0" fontId="5" fillId="0" borderId="0" xfId="0" applyFont="1" applyProtection="1"/>
    <xf numFmtId="0" fontId="5" fillId="0" borderId="15" xfId="0" applyFont="1" applyBorder="1" applyAlignment="1" applyProtection="1">
      <alignment vertical="top"/>
    </xf>
    <xf numFmtId="166" fontId="5" fillId="0" borderId="15" xfId="1" applyNumberFormat="1" applyFont="1" applyBorder="1" applyAlignment="1" applyProtection="1">
      <alignment vertical="top"/>
    </xf>
    <xf numFmtId="0" fontId="5" fillId="0" borderId="0" xfId="0" applyFont="1" applyBorder="1" applyAlignment="1" applyProtection="1">
      <alignment vertical="top" wrapText="1"/>
    </xf>
    <xf numFmtId="0" fontId="5" fillId="0" borderId="29" xfId="0" applyFont="1" applyBorder="1" applyAlignment="1" applyProtection="1">
      <alignment vertical="top"/>
    </xf>
    <xf numFmtId="0" fontId="5" fillId="0" borderId="31" xfId="0" applyFont="1" applyBorder="1" applyAlignment="1" applyProtection="1">
      <alignment vertical="top"/>
    </xf>
    <xf numFmtId="166" fontId="5" fillId="0" borderId="0" xfId="1" applyNumberFormat="1" applyFont="1" applyFill="1" applyBorder="1" applyAlignment="1" applyProtection="1">
      <alignment horizontal="right" vertical="top"/>
    </xf>
    <xf numFmtId="0" fontId="5" fillId="0" borderId="9" xfId="0" applyFont="1" applyBorder="1" applyAlignment="1" applyProtection="1">
      <alignment vertical="top"/>
    </xf>
    <xf numFmtId="166" fontId="13" fillId="0" borderId="10" xfId="1" applyNumberFormat="1" applyFont="1" applyBorder="1" applyAlignment="1" applyProtection="1">
      <alignment vertical="top"/>
    </xf>
    <xf numFmtId="9" fontId="7" fillId="0" borderId="19" xfId="0" applyNumberFormat="1" applyFont="1" applyFill="1" applyBorder="1" applyAlignment="1" applyProtection="1">
      <alignment vertical="top"/>
    </xf>
    <xf numFmtId="9" fontId="7" fillId="0" borderId="28" xfId="0" applyNumberFormat="1" applyFont="1" applyFill="1" applyBorder="1" applyAlignment="1" applyProtection="1">
      <alignment vertical="top"/>
    </xf>
    <xf numFmtId="166" fontId="5" fillId="0" borderId="0" xfId="1" applyNumberFormat="1" applyFont="1" applyBorder="1" applyProtection="1"/>
    <xf numFmtId="166" fontId="5" fillId="0" borderId="20" xfId="1" applyNumberFormat="1" applyFont="1" applyBorder="1" applyAlignment="1" applyProtection="1">
      <alignment vertical="top"/>
    </xf>
    <xf numFmtId="166" fontId="5" fillId="0" borderId="30" xfId="1" applyNumberFormat="1" applyFont="1" applyBorder="1" applyAlignment="1" applyProtection="1">
      <alignment vertical="top"/>
    </xf>
    <xf numFmtId="9" fontId="5" fillId="0" borderId="2" xfId="3" applyFont="1" applyFill="1" applyBorder="1" applyAlignment="1" applyProtection="1">
      <alignment vertical="top" wrapText="1"/>
    </xf>
    <xf numFmtId="0" fontId="7" fillId="0" borderId="7" xfId="0" applyFont="1" applyBorder="1" applyAlignment="1" applyProtection="1">
      <alignment vertical="top"/>
    </xf>
    <xf numFmtId="165" fontId="14" fillId="0" borderId="8" xfId="3" applyNumberFormat="1" applyFont="1" applyFill="1" applyBorder="1" applyAlignment="1" applyProtection="1">
      <alignment vertical="top"/>
    </xf>
    <xf numFmtId="165" fontId="12" fillId="0" borderId="8" xfId="3" applyNumberFormat="1" applyFont="1" applyBorder="1" applyAlignment="1" applyProtection="1">
      <alignment vertical="top"/>
    </xf>
    <xf numFmtId="9" fontId="5" fillId="0" borderId="0" xfId="3" applyFont="1" applyFill="1" applyBorder="1" applyAlignment="1" applyProtection="1">
      <alignment vertical="top" wrapText="1"/>
    </xf>
    <xf numFmtId="0" fontId="7" fillId="0" borderId="21" xfId="0" applyFont="1" applyBorder="1" applyAlignment="1" applyProtection="1">
      <alignment vertical="top"/>
    </xf>
    <xf numFmtId="165" fontId="14" fillId="0" borderId="22" xfId="3" applyNumberFormat="1" applyFont="1" applyFill="1" applyBorder="1" applyAlignment="1" applyProtection="1">
      <alignment vertical="top"/>
    </xf>
    <xf numFmtId="165" fontId="14" fillId="0" borderId="12" xfId="3" applyNumberFormat="1" applyFont="1" applyFill="1" applyBorder="1" applyAlignment="1" applyProtection="1">
      <alignment vertical="top"/>
    </xf>
    <xf numFmtId="0" fontId="5" fillId="0" borderId="7" xfId="0" applyFont="1" applyFill="1" applyBorder="1" applyAlignment="1" applyProtection="1">
      <alignment vertical="top"/>
    </xf>
    <xf numFmtId="0" fontId="5" fillId="5" borderId="24" xfId="0" applyFont="1" applyFill="1" applyBorder="1" applyAlignment="1" applyProtection="1">
      <alignment vertical="top" wrapText="1"/>
      <protection locked="0"/>
    </xf>
    <xf numFmtId="166" fontId="5" fillId="0" borderId="0" xfId="1" applyNumberFormat="1" applyFont="1" applyBorder="1" applyAlignment="1" applyProtection="1">
      <alignment vertical="top" wrapText="1"/>
    </xf>
    <xf numFmtId="0" fontId="5" fillId="0" borderId="14" xfId="0" applyFont="1" applyBorder="1" applyAlignment="1" applyProtection="1">
      <alignment vertical="top" wrapText="1"/>
    </xf>
    <xf numFmtId="0" fontId="5" fillId="0" borderId="19" xfId="0" applyFont="1" applyBorder="1" applyAlignment="1" applyProtection="1">
      <alignment vertical="top" wrapText="1"/>
    </xf>
    <xf numFmtId="0" fontId="5" fillId="0" borderId="0" xfId="0" applyFont="1" applyFill="1" applyBorder="1" applyAlignment="1" applyProtection="1">
      <alignment vertical="top" wrapText="1"/>
    </xf>
    <xf numFmtId="9" fontId="7" fillId="0" borderId="0" xfId="0" applyNumberFormat="1" applyFont="1" applyFill="1" applyBorder="1" applyAlignment="1" applyProtection="1">
      <alignment vertical="top"/>
    </xf>
    <xf numFmtId="166" fontId="5" fillId="0" borderId="0" xfId="1" applyNumberFormat="1" applyFont="1" applyFill="1" applyBorder="1" applyProtection="1"/>
    <xf numFmtId="165" fontId="5" fillId="0" borderId="0" xfId="3" applyNumberFormat="1" applyFont="1" applyFill="1" applyBorder="1" applyAlignment="1" applyProtection="1">
      <alignment vertical="top"/>
    </xf>
    <xf numFmtId="171" fontId="13" fillId="0" borderId="6" xfId="0" applyNumberFormat="1" applyFont="1" applyFill="1" applyBorder="1" applyProtection="1"/>
    <xf numFmtId="165" fontId="13" fillId="0" borderId="6" xfId="3" applyNumberFormat="1" applyFont="1" applyFill="1" applyBorder="1" applyProtection="1"/>
    <xf numFmtId="0" fontId="5" fillId="0" borderId="24" xfId="0"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5" fillId="0" borderId="24" xfId="0" applyFont="1" applyFill="1" applyBorder="1" applyAlignment="1" applyProtection="1">
      <alignment horizontal="center" vertical="center" wrapText="1"/>
    </xf>
    <xf numFmtId="0" fontId="5" fillId="0" borderId="0" xfId="0" applyFont="1" applyFill="1" applyBorder="1" applyAlignment="1" applyProtection="1">
      <alignment horizontal="center"/>
    </xf>
    <xf numFmtId="0" fontId="10" fillId="0" borderId="14" xfId="0" applyFont="1" applyFill="1" applyBorder="1" applyProtection="1"/>
    <xf numFmtId="0" fontId="18" fillId="0" borderId="0" xfId="0" applyFont="1"/>
    <xf numFmtId="0" fontId="19" fillId="0" borderId="0" xfId="0" applyFont="1"/>
    <xf numFmtId="0" fontId="3" fillId="0" borderId="0" xfId="0" applyFont="1" applyProtection="1"/>
    <xf numFmtId="0" fontId="3" fillId="0" borderId="0" xfId="0" applyFont="1" applyBorder="1" applyProtection="1"/>
    <xf numFmtId="0" fontId="5" fillId="0" borderId="25" xfId="0" applyFont="1" applyBorder="1" applyAlignment="1" applyProtection="1">
      <alignment horizontal="center" vertical="center" wrapText="1"/>
    </xf>
    <xf numFmtId="0" fontId="5" fillId="0" borderId="2" xfId="0" applyFont="1" applyBorder="1" applyAlignment="1" applyProtection="1">
      <alignment horizontal="center" vertical="center" wrapText="1"/>
    </xf>
    <xf numFmtId="0" fontId="5" fillId="0" borderId="20" xfId="0" applyFont="1" applyBorder="1" applyAlignment="1" applyProtection="1">
      <alignment horizontal="center" vertical="center"/>
    </xf>
    <xf numFmtId="171" fontId="13" fillId="0" borderId="0" xfId="0" applyNumberFormat="1" applyFont="1" applyFill="1" applyBorder="1" applyProtection="1"/>
    <xf numFmtId="166" fontId="12" fillId="0" borderId="0" xfId="1" applyNumberFormat="1" applyFont="1" applyBorder="1" applyAlignment="1" applyProtection="1">
      <alignment vertical="top"/>
    </xf>
    <xf numFmtId="166" fontId="5" fillId="0" borderId="0" xfId="1" applyNumberFormat="1" applyFont="1" applyBorder="1" applyAlignment="1" applyProtection="1">
      <alignment vertical="top"/>
    </xf>
    <xf numFmtId="165" fontId="14" fillId="0" borderId="0" xfId="3" applyNumberFormat="1" applyFont="1" applyFill="1" applyBorder="1" applyAlignment="1" applyProtection="1">
      <alignment vertical="top"/>
    </xf>
    <xf numFmtId="0" fontId="2" fillId="0" borderId="7" xfId="0" applyFont="1" applyBorder="1" applyAlignment="1" applyProtection="1">
      <alignment vertical="top"/>
    </xf>
    <xf numFmtId="0" fontId="2" fillId="0" borderId="0" xfId="0" applyFont="1" applyBorder="1" applyAlignment="1">
      <alignment vertical="top"/>
    </xf>
    <xf numFmtId="0" fontId="2" fillId="0" borderId="0" xfId="0" applyFont="1" applyAlignment="1" applyProtection="1">
      <alignment wrapText="1"/>
    </xf>
    <xf numFmtId="9" fontId="17" fillId="0" borderId="0" xfId="3" applyFont="1" applyFill="1" applyBorder="1" applyProtection="1"/>
    <xf numFmtId="9" fontId="17" fillId="0" borderId="17" xfId="3" applyFont="1" applyFill="1" applyBorder="1" applyProtection="1"/>
    <xf numFmtId="9" fontId="6" fillId="0" borderId="1" xfId="0" applyNumberFormat="1" applyFont="1" applyFill="1" applyBorder="1" applyProtection="1"/>
    <xf numFmtId="172" fontId="6" fillId="0" borderId="1" xfId="0" applyNumberFormat="1" applyFont="1" applyBorder="1" applyProtection="1"/>
    <xf numFmtId="0" fontId="2" fillId="0" borderId="0" xfId="0" applyFont="1" applyProtection="1"/>
    <xf numFmtId="165" fontId="6" fillId="0" borderId="0" xfId="3" applyNumberFormat="1" applyFont="1" applyProtection="1"/>
    <xf numFmtId="174" fontId="6" fillId="0" borderId="0" xfId="0" applyNumberFormat="1" applyFont="1" applyBorder="1" applyProtection="1"/>
    <xf numFmtId="0" fontId="6" fillId="0" borderId="4" xfId="0" applyFont="1" applyBorder="1" applyAlignment="1" applyProtection="1">
      <alignment wrapText="1"/>
    </xf>
    <xf numFmtId="172" fontId="6" fillId="0" borderId="5" xfId="0" applyNumberFormat="1" applyFont="1" applyBorder="1" applyProtection="1"/>
    <xf numFmtId="165" fontId="6" fillId="0" borderId="4" xfId="3" applyNumberFormat="1" applyFont="1" applyBorder="1" applyProtection="1"/>
    <xf numFmtId="0" fontId="6" fillId="0" borderId="4" xfId="0" applyFont="1" applyBorder="1" applyProtection="1"/>
    <xf numFmtId="0" fontId="6" fillId="0" borderId="5" xfId="0" applyFont="1" applyBorder="1" applyProtection="1"/>
    <xf numFmtId="0" fontId="6" fillId="0" borderId="18" xfId="0" applyFont="1" applyBorder="1" applyProtection="1"/>
    <xf numFmtId="169" fontId="6" fillId="0" borderId="4" xfId="0" applyNumberFormat="1" applyFont="1" applyBorder="1" applyProtection="1"/>
    <xf numFmtId="0" fontId="6" fillId="0" borderId="23" xfId="0" applyFont="1" applyBorder="1" applyAlignment="1" applyProtection="1">
      <alignment wrapText="1"/>
    </xf>
    <xf numFmtId="172" fontId="6" fillId="0" borderId="33" xfId="0" applyNumberFormat="1" applyFont="1" applyBorder="1" applyProtection="1"/>
    <xf numFmtId="165" fontId="6" fillId="0" borderId="23" xfId="3" applyNumberFormat="1" applyFont="1" applyBorder="1" applyProtection="1"/>
    <xf numFmtId="0" fontId="6" fillId="0" borderId="23" xfId="0" applyFont="1" applyBorder="1" applyProtection="1"/>
    <xf numFmtId="0" fontId="6" fillId="0" borderId="33" xfId="0" applyFont="1" applyBorder="1" applyProtection="1"/>
    <xf numFmtId="0" fontId="6" fillId="0" borderId="2" xfId="0" applyFont="1" applyBorder="1" applyAlignment="1" applyProtection="1">
      <alignment wrapText="1"/>
    </xf>
    <xf numFmtId="0" fontId="6" fillId="0" borderId="3" xfId="0" applyFont="1" applyBorder="1" applyProtection="1"/>
    <xf numFmtId="0" fontId="6" fillId="0" borderId="2" xfId="0" applyFont="1" applyBorder="1" applyProtection="1"/>
    <xf numFmtId="166" fontId="6" fillId="0" borderId="2" xfId="0" applyNumberFormat="1" applyFont="1" applyBorder="1" applyProtection="1"/>
    <xf numFmtId="0" fontId="2" fillId="0" borderId="33" xfId="0" applyFont="1" applyBorder="1" applyProtection="1"/>
    <xf numFmtId="172" fontId="6" fillId="0" borderId="3" xfId="0" applyNumberFormat="1" applyFont="1" applyBorder="1" applyProtection="1"/>
    <xf numFmtId="165" fontId="6" fillId="0" borderId="2" xfId="3" applyNumberFormat="1" applyFont="1" applyBorder="1" applyProtection="1"/>
    <xf numFmtId="0" fontId="2" fillId="0" borderId="3" xfId="0" applyFont="1" applyBorder="1" applyProtection="1"/>
    <xf numFmtId="168" fontId="6" fillId="0" borderId="2" xfId="0" applyNumberFormat="1" applyFont="1" applyBorder="1" applyProtection="1"/>
    <xf numFmtId="0" fontId="2" fillId="0" borderId="23" xfId="0" applyFont="1" applyBorder="1" applyProtection="1"/>
    <xf numFmtId="0" fontId="6" fillId="0" borderId="34" xfId="0" applyFont="1" applyBorder="1" applyProtection="1"/>
    <xf numFmtId="0" fontId="2" fillId="0" borderId="0" xfId="0" applyFont="1"/>
    <xf numFmtId="166" fontId="13" fillId="0" borderId="15" xfId="1" applyNumberFormat="1" applyFont="1" applyFill="1" applyBorder="1" applyAlignment="1" applyProtection="1">
      <alignment vertical="top"/>
    </xf>
    <xf numFmtId="165" fontId="13" fillId="0" borderId="43" xfId="3" applyNumberFormat="1" applyFont="1" applyBorder="1" applyAlignment="1" applyProtection="1">
      <alignment vertical="top"/>
    </xf>
    <xf numFmtId="165" fontId="9" fillId="0" borderId="0" xfId="3" applyNumberFormat="1" applyFont="1" applyFill="1" applyBorder="1" applyProtection="1"/>
    <xf numFmtId="165" fontId="9" fillId="0" borderId="17" xfId="3" applyNumberFormat="1" applyFont="1" applyFill="1" applyBorder="1" applyProtection="1"/>
    <xf numFmtId="0" fontId="5" fillId="0" borderId="0" xfId="0" applyFont="1" applyFill="1" applyBorder="1" applyAlignment="1" applyProtection="1">
      <alignment horizontal="left"/>
    </xf>
    <xf numFmtId="0" fontId="5" fillId="0" borderId="20" xfId="0" applyFont="1" applyBorder="1" applyAlignment="1" applyProtection="1">
      <alignment horizontal="center" vertical="center" wrapText="1"/>
    </xf>
    <xf numFmtId="0" fontId="19" fillId="0" borderId="0" xfId="0" applyFont="1" applyProtection="1"/>
    <xf numFmtId="0" fontId="5" fillId="0" borderId="0" xfId="0" applyFont="1"/>
    <xf numFmtId="0" fontId="15" fillId="4" borderId="24" xfId="0" applyFont="1" applyFill="1" applyBorder="1" applyAlignment="1">
      <alignment horizontal="center" vertical="center" wrapText="1"/>
    </xf>
    <xf numFmtId="0" fontId="15" fillId="4" borderId="24" xfId="0" applyFont="1" applyFill="1" applyBorder="1" applyAlignment="1">
      <alignment horizontal="center" vertical="center"/>
    </xf>
    <xf numFmtId="0" fontId="2" fillId="0" borderId="0" xfId="0" applyFont="1" applyFill="1" applyProtection="1"/>
    <xf numFmtId="0" fontId="16" fillId="0" borderId="24" xfId="0" applyFont="1" applyBorder="1" applyAlignment="1" applyProtection="1">
      <alignment horizontal="center" vertical="center"/>
    </xf>
    <xf numFmtId="0" fontId="16" fillId="0" borderId="0" xfId="0" applyFont="1" applyBorder="1" applyAlignment="1">
      <alignment vertical="center"/>
    </xf>
    <xf numFmtId="0" fontId="16" fillId="0" borderId="0" xfId="0" applyFont="1" applyBorder="1" applyAlignment="1">
      <alignment horizontal="left" vertical="center"/>
    </xf>
    <xf numFmtId="0" fontId="20" fillId="0" borderId="0" xfId="0" applyFont="1" applyProtection="1"/>
    <xf numFmtId="166" fontId="20" fillId="0" borderId="0" xfId="1" applyNumberFormat="1" applyFont="1" applyBorder="1" applyProtection="1"/>
    <xf numFmtId="166" fontId="20" fillId="0" borderId="0" xfId="1" applyNumberFormat="1" applyFont="1" applyFill="1" applyBorder="1" applyProtection="1"/>
    <xf numFmtId="0" fontId="20" fillId="0" borderId="0" xfId="0" applyFont="1" applyFill="1" applyProtection="1"/>
    <xf numFmtId="0" fontId="2" fillId="0" borderId="0" xfId="0" applyFont="1" applyFill="1" applyBorder="1" applyAlignment="1" applyProtection="1">
      <alignment horizontal="center"/>
    </xf>
    <xf numFmtId="0" fontId="2" fillId="0" borderId="0" xfId="0" applyFont="1" applyFill="1" applyBorder="1" applyProtection="1"/>
    <xf numFmtId="0" fontId="26" fillId="0" borderId="0" xfId="0" applyFont="1" applyFill="1" applyBorder="1" applyAlignment="1" applyProtection="1">
      <alignment horizontal="left"/>
    </xf>
    <xf numFmtId="0" fontId="18" fillId="0" borderId="0" xfId="0" applyFont="1" applyFill="1"/>
    <xf numFmtId="0" fontId="19" fillId="0" borderId="0" xfId="0" applyFont="1" applyFill="1"/>
    <xf numFmtId="2" fontId="6" fillId="0" borderId="1" xfId="0" applyNumberFormat="1" applyFont="1" applyFill="1" applyBorder="1" applyProtection="1"/>
    <xf numFmtId="43" fontId="6" fillId="0" borderId="0" xfId="1" applyFont="1" applyBorder="1" applyProtection="1"/>
    <xf numFmtId="166" fontId="6" fillId="0" borderId="0" xfId="1" applyNumberFormat="1" applyFont="1" applyBorder="1" applyProtection="1"/>
    <xf numFmtId="43" fontId="6" fillId="0" borderId="0" xfId="0" applyNumberFormat="1" applyFont="1" applyBorder="1" applyProtection="1"/>
    <xf numFmtId="43" fontId="6" fillId="0" borderId="0" xfId="1" applyNumberFormat="1" applyFont="1" applyBorder="1" applyProtection="1"/>
    <xf numFmtId="0" fontId="0" fillId="0" borderId="0" xfId="0" applyAlignment="1"/>
    <xf numFmtId="172" fontId="6" fillId="0" borderId="5" xfId="0" applyNumberFormat="1" applyFont="1" applyFill="1" applyBorder="1" applyProtection="1"/>
    <xf numFmtId="165" fontId="6" fillId="0" borderId="4" xfId="3" applyNumberFormat="1" applyFont="1" applyFill="1" applyBorder="1" applyProtection="1"/>
    <xf numFmtId="0" fontId="6" fillId="0" borderId="33" xfId="0" applyFont="1" applyFill="1" applyBorder="1" applyProtection="1"/>
    <xf numFmtId="0" fontId="6" fillId="0" borderId="23" xfId="0" applyFont="1" applyFill="1" applyBorder="1" applyProtection="1"/>
    <xf numFmtId="0" fontId="2" fillId="0" borderId="33" xfId="0" applyFont="1" applyFill="1" applyBorder="1" applyProtection="1"/>
    <xf numFmtId="166" fontId="5" fillId="0" borderId="48" xfId="1" applyNumberFormat="1" applyFont="1" applyBorder="1" applyAlignment="1" applyProtection="1">
      <alignment vertical="top"/>
    </xf>
    <xf numFmtId="0" fontId="5" fillId="0" borderId="48" xfId="0" applyFont="1" applyBorder="1" applyAlignment="1" applyProtection="1">
      <alignment vertical="top"/>
    </xf>
    <xf numFmtId="0" fontId="16" fillId="10" borderId="24" xfId="0" applyFont="1" applyFill="1" applyBorder="1" applyAlignment="1" applyProtection="1">
      <alignment horizontal="left" vertical="top"/>
      <protection locked="0"/>
    </xf>
    <xf numFmtId="0" fontId="38" fillId="0" borderId="0" xfId="0" applyFont="1"/>
    <xf numFmtId="0" fontId="5" fillId="0" borderId="24" xfId="0" applyFont="1" applyBorder="1" applyAlignment="1">
      <alignment horizontal="center" vertical="center"/>
    </xf>
    <xf numFmtId="0" fontId="2" fillId="0" borderId="24" xfId="0" applyFont="1" applyBorder="1" applyAlignment="1">
      <alignment horizontal="left" vertical="top"/>
    </xf>
    <xf numFmtId="0" fontId="39" fillId="0" borderId="0" xfId="0" applyFont="1"/>
    <xf numFmtId="165" fontId="11" fillId="0" borderId="24" xfId="3" applyNumberFormat="1" applyFont="1" applyBorder="1" applyAlignment="1">
      <alignment vertical="top"/>
    </xf>
    <xf numFmtId="0" fontId="16" fillId="0" borderId="24" xfId="0" applyFont="1" applyBorder="1" applyAlignment="1">
      <alignment horizontal="left" vertical="top" wrapText="1"/>
    </xf>
    <xf numFmtId="0" fontId="5" fillId="0" borderId="5" xfId="0" applyFont="1" applyBorder="1" applyAlignment="1">
      <alignment horizontal="center" vertical="center"/>
    </xf>
    <xf numFmtId="0" fontId="9" fillId="0" borderId="24" xfId="0" applyFont="1" applyBorder="1" applyAlignment="1">
      <alignment horizontal="left" vertical="top" wrapText="1"/>
    </xf>
    <xf numFmtId="0" fontId="2" fillId="0" borderId="24" xfId="0" applyFont="1" applyBorder="1" applyAlignment="1">
      <alignment horizontal="center" vertical="center"/>
    </xf>
    <xf numFmtId="0" fontId="2" fillId="0" borderId="24" xfId="0" applyFont="1" applyBorder="1" applyAlignment="1">
      <alignment horizontal="left" vertical="top" wrapText="1"/>
    </xf>
    <xf numFmtId="165" fontId="12" fillId="0" borderId="16" xfId="3" applyNumberFormat="1" applyFont="1" applyBorder="1" applyAlignment="1" applyProtection="1">
      <alignment vertical="top"/>
    </xf>
    <xf numFmtId="0" fontId="2" fillId="0" borderId="24" xfId="0" applyFont="1" applyBorder="1" applyAlignment="1">
      <alignment horizontal="center" vertical="center" wrapText="1"/>
    </xf>
    <xf numFmtId="0" fontId="28" fillId="0" borderId="0" xfId="0" applyFont="1" applyAlignment="1">
      <alignment horizontal="center"/>
    </xf>
    <xf numFmtId="0" fontId="16" fillId="4" borderId="24" xfId="0" applyFont="1" applyFill="1" applyBorder="1" applyAlignment="1" applyProtection="1">
      <alignment horizontal="center" vertical="center"/>
    </xf>
    <xf numFmtId="0" fontId="24" fillId="0" borderId="24" xfId="0" applyFont="1" applyFill="1" applyBorder="1" applyAlignment="1">
      <alignment vertical="center" wrapText="1"/>
    </xf>
    <xf numFmtId="0" fontId="10" fillId="0" borderId="24" xfId="0" applyFont="1" applyFill="1" applyBorder="1" applyAlignment="1">
      <alignment horizontal="center" vertical="top" wrapText="1"/>
    </xf>
    <xf numFmtId="0" fontId="2" fillId="5" borderId="18" xfId="0" applyFont="1" applyFill="1" applyBorder="1" applyAlignment="1" applyProtection="1">
      <alignment vertical="top" wrapText="1"/>
      <protection locked="0"/>
    </xf>
    <xf numFmtId="0" fontId="40" fillId="0" borderId="24" xfId="5" applyFont="1" applyAlignment="1">
      <alignment horizontal="center"/>
    </xf>
    <xf numFmtId="0" fontId="40" fillId="0" borderId="24" xfId="5" applyFont="1" applyAlignment="1">
      <alignment horizontal="center" vertical="center" wrapText="1"/>
    </xf>
    <xf numFmtId="0" fontId="28" fillId="0" borderId="0" xfId="0" applyFont="1" applyAlignment="1">
      <alignment horizontal="left"/>
    </xf>
    <xf numFmtId="0" fontId="40" fillId="0" borderId="0" xfId="0" applyFont="1" applyBorder="1" applyProtection="1"/>
    <xf numFmtId="0" fontId="40" fillId="0" borderId="0" xfId="0" applyFont="1" applyProtection="1"/>
    <xf numFmtId="0" fontId="41" fillId="0" borderId="0" xfId="0" applyFont="1" applyBorder="1" applyProtection="1"/>
    <xf numFmtId="166" fontId="7" fillId="3" borderId="0" xfId="1" applyNumberFormat="1" applyFont="1" applyFill="1" applyBorder="1" applyAlignment="1" applyProtection="1">
      <alignment vertical="center"/>
    </xf>
    <xf numFmtId="166" fontId="36" fillId="3" borderId="0" xfId="1" applyNumberFormat="1" applyFont="1" applyFill="1" applyBorder="1" applyAlignment="1" applyProtection="1">
      <alignment vertical="center"/>
    </xf>
    <xf numFmtId="166" fontId="5" fillId="0" borderId="4" xfId="1" applyNumberFormat="1" applyFont="1" applyFill="1" applyBorder="1" applyAlignment="1" applyProtection="1">
      <alignment vertical="center"/>
    </xf>
    <xf numFmtId="166" fontId="5" fillId="0" borderId="4" xfId="1" applyNumberFormat="1" applyFont="1" applyFill="1" applyBorder="1" applyProtection="1"/>
    <xf numFmtId="166" fontId="5" fillId="0" borderId="18" xfId="1" applyNumberFormat="1" applyFont="1" applyFill="1" applyBorder="1" applyProtection="1"/>
    <xf numFmtId="166" fontId="6" fillId="0" borderId="0" xfId="1" applyNumberFormat="1" applyFont="1" applyProtection="1"/>
    <xf numFmtId="166" fontId="6" fillId="0" borderId="4" xfId="1" applyNumberFormat="1" applyFont="1" applyBorder="1" applyProtection="1"/>
    <xf numFmtId="166" fontId="22" fillId="0" borderId="0" xfId="1" applyNumberFormat="1" applyFont="1" applyProtection="1"/>
    <xf numFmtId="166" fontId="22" fillId="0" borderId="4" xfId="1" applyNumberFormat="1" applyFont="1" applyBorder="1" applyProtection="1"/>
    <xf numFmtId="166" fontId="6" fillId="0" borderId="4" xfId="1" applyNumberFormat="1" applyFont="1" applyFill="1" applyBorder="1" applyProtection="1"/>
    <xf numFmtId="166" fontId="22" fillId="0" borderId="4" xfId="1" applyNumberFormat="1" applyFont="1" applyFill="1" applyBorder="1" applyProtection="1"/>
    <xf numFmtId="166" fontId="6" fillId="0" borderId="23" xfId="1" applyNumberFormat="1" applyFont="1" applyFill="1" applyBorder="1" applyProtection="1"/>
    <xf numFmtId="166" fontId="6" fillId="0" borderId="23" xfId="1" applyNumberFormat="1" applyFont="1" applyBorder="1" applyProtection="1"/>
    <xf numFmtId="0" fontId="9" fillId="0" borderId="24" xfId="0" applyFont="1" applyFill="1" applyBorder="1" applyAlignment="1">
      <alignment horizontal="left" vertical="top" wrapText="1"/>
    </xf>
    <xf numFmtId="0" fontId="43" fillId="0" borderId="0" xfId="0" applyFont="1" applyFill="1" applyBorder="1" applyAlignment="1" applyProtection="1">
      <alignment vertical="top" wrapText="1"/>
    </xf>
    <xf numFmtId="0" fontId="5" fillId="0" borderId="41" xfId="0" applyFont="1" applyBorder="1"/>
    <xf numFmtId="0" fontId="5" fillId="0" borderId="39" xfId="0" applyFont="1" applyBorder="1"/>
    <xf numFmtId="0" fontId="5" fillId="0" borderId="46" xfId="0" applyFont="1" applyBorder="1"/>
    <xf numFmtId="0" fontId="2" fillId="0" borderId="24" xfId="0" applyFont="1" applyBorder="1" applyAlignment="1">
      <alignment vertical="top" wrapText="1"/>
    </xf>
    <xf numFmtId="0" fontId="2" fillId="0" borderId="44" xfId="0" applyFont="1" applyBorder="1" applyAlignment="1">
      <alignment vertical="top"/>
    </xf>
    <xf numFmtId="0" fontId="2" fillId="0" borderId="42" xfId="0" applyFont="1" applyBorder="1" applyAlignment="1" applyProtection="1">
      <alignment vertical="top"/>
    </xf>
    <xf numFmtId="0" fontId="2" fillId="0" borderId="24" xfId="0" applyFont="1" applyFill="1" applyBorder="1" applyAlignment="1">
      <alignment vertical="top"/>
    </xf>
    <xf numFmtId="0" fontId="2" fillId="0" borderId="44" xfId="0" applyFont="1" applyFill="1" applyBorder="1" applyAlignment="1">
      <alignment vertical="top" wrapText="1"/>
    </xf>
    <xf numFmtId="0" fontId="2" fillId="0" borderId="24" xfId="0" applyFont="1" applyFill="1" applyBorder="1" applyAlignment="1">
      <alignment vertical="top" wrapText="1"/>
    </xf>
    <xf numFmtId="0" fontId="2" fillId="0" borderId="44" xfId="0" applyFont="1" applyBorder="1" applyAlignment="1">
      <alignment vertical="top" wrapText="1"/>
    </xf>
    <xf numFmtId="0" fontId="2" fillId="0" borderId="42" xfId="0" applyFont="1" applyFill="1" applyBorder="1" applyAlignment="1" applyProtection="1">
      <alignment vertical="top"/>
    </xf>
    <xf numFmtId="0" fontId="5" fillId="0" borderId="42" xfId="0" applyFont="1" applyFill="1" applyBorder="1" applyAlignment="1" applyProtection="1">
      <alignment vertical="top"/>
    </xf>
    <xf numFmtId="0" fontId="2" fillId="0" borderId="42" xfId="0" applyFont="1" applyBorder="1" applyAlignment="1" applyProtection="1">
      <alignment vertical="top" wrapText="1"/>
    </xf>
    <xf numFmtId="0" fontId="9" fillId="0" borderId="24" xfId="0" applyNumberFormat="1" applyFont="1" applyBorder="1" applyAlignment="1">
      <alignment vertical="top" wrapText="1"/>
    </xf>
    <xf numFmtId="0" fontId="2" fillId="0" borderId="24" xfId="0" applyNumberFormat="1" applyFont="1" applyBorder="1" applyAlignment="1">
      <alignment vertical="top" wrapText="1"/>
    </xf>
    <xf numFmtId="0" fontId="2" fillId="0" borderId="44" xfId="0" applyFont="1" applyFill="1" applyBorder="1"/>
    <xf numFmtId="0" fontId="2" fillId="0" borderId="40" xfId="0" applyFont="1" applyFill="1" applyBorder="1"/>
    <xf numFmtId="0" fontId="2" fillId="0" borderId="45" xfId="0" applyFont="1" applyBorder="1"/>
    <xf numFmtId="0" fontId="2" fillId="0" borderId="0" xfId="0" applyFont="1" applyAlignment="1">
      <alignment horizontal="left" indent="2"/>
    </xf>
    <xf numFmtId="0" fontId="7" fillId="0" borderId="0" xfId="0" applyFont="1"/>
    <xf numFmtId="0" fontId="7" fillId="0" borderId="0" xfId="0" applyFont="1" applyAlignment="1">
      <alignment vertical="center"/>
    </xf>
    <xf numFmtId="0" fontId="28" fillId="0" borderId="0" xfId="0" applyFont="1" applyFill="1" applyBorder="1" applyAlignment="1" applyProtection="1">
      <alignment horizontal="right"/>
    </xf>
    <xf numFmtId="0" fontId="2" fillId="0" borderId="7" xfId="0" applyFont="1" applyBorder="1" applyAlignment="1" applyProtection="1">
      <alignment vertical="top" wrapText="1"/>
    </xf>
    <xf numFmtId="0" fontId="2" fillId="0" borderId="0" xfId="0" applyFont="1" applyFill="1" applyAlignment="1">
      <alignment horizontal="left" vertical="center"/>
    </xf>
    <xf numFmtId="0" fontId="2" fillId="0" borderId="0" xfId="0" applyFont="1" applyFill="1"/>
    <xf numFmtId="175" fontId="2" fillId="0" borderId="0" xfId="0" applyNumberFormat="1" applyFont="1" applyFill="1" applyAlignment="1">
      <alignment horizontal="left" vertical="center"/>
    </xf>
    <xf numFmtId="0" fontId="5" fillId="0" borderId="0" xfId="0" applyFont="1" applyFill="1"/>
    <xf numFmtId="0" fontId="2" fillId="5" borderId="6" xfId="0" applyFont="1" applyFill="1" applyBorder="1" applyAlignment="1" applyProtection="1">
      <alignment horizontal="center" vertical="center"/>
      <protection locked="0"/>
    </xf>
    <xf numFmtId="166" fontId="2" fillId="0" borderId="0" xfId="0" applyNumberFormat="1" applyFont="1" applyFill="1" applyProtection="1"/>
    <xf numFmtId="0" fontId="5" fillId="0" borderId="0" xfId="0" applyFont="1" applyAlignment="1">
      <alignment horizontal="right"/>
    </xf>
    <xf numFmtId="173" fontId="2" fillId="5" borderId="6" xfId="0" applyNumberFormat="1" applyFont="1" applyFill="1" applyBorder="1" applyAlignment="1" applyProtection="1">
      <alignment horizontal="center" vertical="center"/>
      <protection locked="0"/>
    </xf>
    <xf numFmtId="166" fontId="2" fillId="0" borderId="17" xfId="1" applyNumberFormat="1" applyFont="1" applyFill="1" applyBorder="1" applyAlignment="1" applyProtection="1">
      <alignment vertical="top"/>
    </xf>
    <xf numFmtId="0" fontId="2" fillId="5" borderId="24" xfId="0" applyFont="1" applyFill="1" applyBorder="1" applyAlignment="1" applyProtection="1">
      <alignment vertical="top" wrapText="1"/>
      <protection locked="0"/>
    </xf>
    <xf numFmtId="166" fontId="2" fillId="0" borderId="0" xfId="1" applyNumberFormat="1" applyFont="1" applyFill="1" applyBorder="1" applyAlignment="1" applyProtection="1">
      <alignment vertical="top"/>
    </xf>
    <xf numFmtId="0" fontId="2" fillId="0" borderId="7" xfId="0" applyFont="1" applyFill="1" applyBorder="1" applyAlignment="1" applyProtection="1">
      <alignment vertical="top"/>
    </xf>
    <xf numFmtId="0" fontId="2" fillId="0" borderId="15" xfId="0" applyFont="1" applyBorder="1" applyAlignment="1" applyProtection="1">
      <alignment vertical="top"/>
    </xf>
    <xf numFmtId="0" fontId="2" fillId="0" borderId="29" xfId="0" applyFont="1" applyBorder="1" applyAlignment="1" applyProtection="1">
      <alignment vertical="top"/>
    </xf>
    <xf numFmtId="0" fontId="2" fillId="0" borderId="31" xfId="0" applyFont="1" applyBorder="1" applyAlignment="1" applyProtection="1">
      <alignment vertical="top"/>
    </xf>
    <xf numFmtId="0" fontId="2" fillId="4" borderId="2" xfId="0" applyFont="1" applyFill="1" applyBorder="1" applyAlignment="1" applyProtection="1">
      <alignment vertical="top" wrapText="1"/>
    </xf>
    <xf numFmtId="0" fontId="2" fillId="0" borderId="9" xfId="0" applyFont="1" applyBorder="1" applyAlignment="1" applyProtection="1">
      <alignment vertical="top"/>
    </xf>
    <xf numFmtId="0" fontId="2" fillId="0" borderId="4" xfId="0" applyFont="1" applyBorder="1" applyAlignment="1" applyProtection="1">
      <alignment vertical="top"/>
    </xf>
    <xf numFmtId="0" fontId="2" fillId="0" borderId="11" xfId="0" applyFont="1" applyBorder="1" applyAlignment="1" applyProtection="1">
      <alignment vertical="top"/>
    </xf>
    <xf numFmtId="0" fontId="2" fillId="0" borderId="13" xfId="0" applyFont="1" applyBorder="1" applyAlignment="1" applyProtection="1">
      <alignment vertical="top"/>
    </xf>
    <xf numFmtId="166" fontId="2" fillId="0" borderId="0" xfId="1" applyNumberFormat="1" applyFont="1" applyBorder="1" applyAlignment="1" applyProtection="1">
      <alignment vertical="top"/>
    </xf>
    <xf numFmtId="0" fontId="2" fillId="0" borderId="0" xfId="0" applyFont="1" applyBorder="1" applyAlignment="1" applyProtection="1">
      <alignment vertical="top" wrapText="1"/>
    </xf>
    <xf numFmtId="166" fontId="2" fillId="0" borderId="27" xfId="1" applyNumberFormat="1" applyFont="1" applyFill="1" applyBorder="1" applyAlignment="1" applyProtection="1">
      <alignment vertical="top"/>
    </xf>
    <xf numFmtId="9" fontId="2" fillId="0" borderId="14" xfId="0" applyNumberFormat="1" applyFont="1" applyFill="1" applyBorder="1" applyAlignment="1" applyProtection="1">
      <alignment vertical="top"/>
    </xf>
    <xf numFmtId="9" fontId="2" fillId="0" borderId="15" xfId="0" applyNumberFormat="1" applyFont="1" applyFill="1" applyBorder="1" applyAlignment="1" applyProtection="1">
      <alignment vertical="top"/>
    </xf>
    <xf numFmtId="166" fontId="2" fillId="0" borderId="0" xfId="0" applyNumberFormat="1" applyFont="1" applyProtection="1"/>
    <xf numFmtId="43" fontId="2" fillId="0" borderId="0" xfId="0" applyNumberFormat="1" applyFont="1" applyProtection="1"/>
    <xf numFmtId="0" fontId="2" fillId="0" borderId="0" xfId="0" applyFont="1" applyFill="1" applyBorder="1" applyAlignment="1">
      <alignment vertical="top"/>
    </xf>
    <xf numFmtId="0" fontId="2" fillId="0" borderId="0" xfId="0" applyFont="1" applyFill="1" applyAlignment="1">
      <alignment horizontal="left" indent="2"/>
    </xf>
    <xf numFmtId="0" fontId="26" fillId="0" borderId="0" xfId="0" applyFont="1" applyProtection="1"/>
    <xf numFmtId="0" fontId="26" fillId="0" borderId="0" xfId="0" applyFont="1" applyAlignment="1">
      <alignment horizontal="left"/>
    </xf>
    <xf numFmtId="0" fontId="2" fillId="0" borderId="24" xfId="0" applyFont="1" applyBorder="1" applyAlignment="1">
      <alignment horizontal="center" vertical="top"/>
    </xf>
    <xf numFmtId="0" fontId="2" fillId="0" borderId="44" xfId="0" applyFont="1" applyFill="1" applyBorder="1" applyAlignment="1">
      <alignment vertical="top"/>
    </xf>
    <xf numFmtId="2" fontId="28" fillId="0" borderId="0" xfId="0" applyNumberFormat="1" applyFont="1" applyFill="1" applyBorder="1" applyAlignment="1" applyProtection="1">
      <alignment horizontal="center"/>
    </xf>
    <xf numFmtId="2" fontId="11" fillId="0" borderId="24" xfId="4" applyNumberFormat="1"/>
    <xf numFmtId="166" fontId="44" fillId="0" borderId="0" xfId="17">
      <alignment vertical="center"/>
    </xf>
    <xf numFmtId="0" fontId="2" fillId="0" borderId="25" xfId="0" applyFont="1" applyBorder="1" applyAlignment="1">
      <alignment vertical="top"/>
    </xf>
    <xf numFmtId="0" fontId="2" fillId="0" borderId="0" xfId="0" applyFont="1" applyAlignment="1">
      <alignment vertical="top" wrapText="1"/>
    </xf>
    <xf numFmtId="0" fontId="2" fillId="0" borderId="0" xfId="0" applyFont="1" applyAlignment="1">
      <alignment vertical="top"/>
    </xf>
    <xf numFmtId="0" fontId="36" fillId="0" borderId="0" xfId="0" applyFont="1"/>
    <xf numFmtId="43" fontId="2" fillId="0" borderId="24" xfId="0" applyNumberFormat="1" applyFont="1" applyFill="1" applyBorder="1" applyAlignment="1" applyProtection="1">
      <alignment horizontal="center"/>
    </xf>
    <xf numFmtId="43" fontId="2" fillId="0" borderId="0" xfId="0" applyNumberFormat="1" applyFont="1" applyFill="1" applyProtection="1"/>
    <xf numFmtId="0" fontId="9" fillId="0" borderId="7" xfId="0" applyFont="1" applyFill="1" applyBorder="1" applyAlignment="1" applyProtection="1">
      <alignment vertical="top" wrapText="1"/>
    </xf>
    <xf numFmtId="0" fontId="9" fillId="0" borderId="7" xfId="0" applyFont="1" applyFill="1" applyBorder="1" applyAlignment="1" applyProtection="1">
      <alignment vertical="top"/>
    </xf>
    <xf numFmtId="0" fontId="10" fillId="0" borderId="0" xfId="0" applyFont="1" applyFill="1" applyBorder="1" applyAlignment="1" applyProtection="1">
      <alignment horizontal="right" vertical="center"/>
    </xf>
    <xf numFmtId="0" fontId="9" fillId="0" borderId="24" xfId="0" applyFont="1" applyFill="1" applyBorder="1" applyAlignment="1">
      <alignment vertical="top" wrapText="1"/>
    </xf>
    <xf numFmtId="0" fontId="9" fillId="0" borderId="42" xfId="0" applyFont="1" applyFill="1" applyBorder="1" applyAlignment="1" applyProtection="1">
      <alignment vertical="top"/>
    </xf>
    <xf numFmtId="0" fontId="9" fillId="0" borderId="42" xfId="0" applyFont="1" applyFill="1" applyBorder="1" applyAlignment="1" applyProtection="1">
      <alignment vertical="top" wrapText="1"/>
    </xf>
    <xf numFmtId="0" fontId="9" fillId="0" borderId="42" xfId="0" applyFont="1" applyBorder="1" applyAlignment="1" applyProtection="1">
      <alignment vertical="top"/>
    </xf>
    <xf numFmtId="0" fontId="2" fillId="0" borderId="42" xfId="0" applyFont="1" applyFill="1" applyBorder="1" applyAlignment="1" applyProtection="1">
      <alignment vertical="top" wrapText="1"/>
    </xf>
    <xf numFmtId="0" fontId="9" fillId="0" borderId="24" xfId="0" applyFont="1" applyBorder="1" applyAlignment="1">
      <alignment vertical="top" wrapText="1"/>
    </xf>
    <xf numFmtId="170" fontId="2" fillId="5" borderId="24" xfId="0" applyNumberFormat="1" applyFont="1" applyFill="1" applyBorder="1" applyAlignment="1" applyProtection="1">
      <alignment vertical="top"/>
      <protection locked="0"/>
    </xf>
    <xf numFmtId="9" fontId="2" fillId="0" borderId="24" xfId="0" applyNumberFormat="1" applyFont="1" applyFill="1" applyBorder="1" applyAlignment="1" applyProtection="1">
      <alignment vertical="top"/>
    </xf>
    <xf numFmtId="0" fontId="5" fillId="0" borderId="0" xfId="0" applyFont="1" applyBorder="1" applyAlignment="1" applyProtection="1">
      <alignment vertical="top"/>
    </xf>
    <xf numFmtId="9" fontId="2" fillId="0" borderId="28" xfId="0" applyNumberFormat="1" applyFont="1" applyBorder="1" applyAlignment="1" applyProtection="1">
      <alignment vertical="top"/>
    </xf>
    <xf numFmtId="0" fontId="10" fillId="0" borderId="25" xfId="0" applyFont="1" applyFill="1" applyBorder="1" applyAlignment="1" applyProtection="1">
      <alignment vertical="top"/>
    </xf>
    <xf numFmtId="0" fontId="5" fillId="0" borderId="30" xfId="0" applyFont="1" applyBorder="1" applyAlignment="1" applyProtection="1">
      <alignment horizontal="center" vertical="center" wrapText="1"/>
    </xf>
    <xf numFmtId="165" fontId="12" fillId="0" borderId="10" xfId="3" applyNumberFormat="1" applyFont="1" applyFill="1" applyBorder="1" applyAlignment="1" applyProtection="1">
      <alignment vertical="top"/>
    </xf>
    <xf numFmtId="165" fontId="13" fillId="0" borderId="12" xfId="3" applyNumberFormat="1" applyFont="1" applyFill="1" applyBorder="1" applyAlignment="1" applyProtection="1">
      <alignment vertical="top"/>
    </xf>
    <xf numFmtId="170" fontId="2" fillId="5" borderId="42" xfId="0" applyNumberFormat="1" applyFont="1" applyFill="1" applyBorder="1" applyAlignment="1" applyProtection="1">
      <alignment vertical="top"/>
      <protection locked="0"/>
    </xf>
    <xf numFmtId="166" fontId="13" fillId="0" borderId="12" xfId="1" applyNumberFormat="1" applyFont="1" applyBorder="1" applyAlignment="1" applyProtection="1">
      <alignment vertical="top"/>
    </xf>
    <xf numFmtId="165" fontId="12" fillId="0" borderId="30" xfId="3" applyNumberFormat="1" applyFont="1" applyFill="1" applyBorder="1" applyAlignment="1" applyProtection="1">
      <alignment vertical="top"/>
    </xf>
    <xf numFmtId="0" fontId="5" fillId="0" borderId="30" xfId="0" applyFont="1" applyBorder="1" applyAlignment="1" applyProtection="1">
      <alignment horizontal="center" vertical="center"/>
    </xf>
    <xf numFmtId="165" fontId="14" fillId="0" borderId="10" xfId="3" applyNumberFormat="1" applyFont="1" applyFill="1" applyBorder="1" applyAlignment="1" applyProtection="1">
      <alignment horizontal="center" vertical="top"/>
    </xf>
    <xf numFmtId="9" fontId="2" fillId="0" borderId="42" xfId="0" applyNumberFormat="1" applyFont="1" applyFill="1" applyBorder="1" applyAlignment="1" applyProtection="1">
      <alignment vertical="top"/>
    </xf>
    <xf numFmtId="0" fontId="5" fillId="0" borderId="14" xfId="0" applyFont="1" applyFill="1" applyBorder="1" applyAlignment="1" applyProtection="1">
      <alignment vertical="top" wrapText="1"/>
    </xf>
    <xf numFmtId="0" fontId="9" fillId="0" borderId="0" xfId="0" applyFont="1" applyFill="1" applyAlignment="1">
      <alignment horizontal="left" indent="2"/>
    </xf>
    <xf numFmtId="0" fontId="9" fillId="0" borderId="0" xfId="0" applyFont="1" applyAlignment="1">
      <alignment horizontal="left" indent="2"/>
    </xf>
    <xf numFmtId="0" fontId="9" fillId="0" borderId="44" xfId="0" applyFont="1" applyBorder="1" applyAlignment="1">
      <alignment vertical="top" wrapText="1"/>
    </xf>
    <xf numFmtId="0" fontId="9" fillId="0" borderId="44" xfId="0" applyFont="1" applyFill="1" applyBorder="1" applyAlignment="1">
      <alignment vertical="top" wrapText="1"/>
    </xf>
    <xf numFmtId="0" fontId="9" fillId="0" borderId="44" xfId="0" applyNumberFormat="1" applyFont="1" applyBorder="1" applyAlignment="1">
      <alignment vertical="top" wrapText="1"/>
    </xf>
    <xf numFmtId="0" fontId="2" fillId="0" borderId="49" xfId="0" applyFont="1" applyFill="1" applyBorder="1" applyAlignment="1" applyProtection="1">
      <alignment vertical="top" wrapText="1"/>
    </xf>
    <xf numFmtId="0" fontId="2" fillId="0" borderId="24" xfId="0" applyFont="1" applyBorder="1"/>
    <xf numFmtId="0" fontId="2" fillId="0" borderId="0" xfId="0" applyFont="1" applyFill="1" applyBorder="1" applyAlignment="1" applyProtection="1">
      <alignment vertical="top" wrapText="1"/>
    </xf>
    <xf numFmtId="0" fontId="2" fillId="0" borderId="0" xfId="0" applyFont="1" applyFill="1" applyBorder="1" applyAlignment="1" applyProtection="1">
      <alignment vertical="top"/>
    </xf>
    <xf numFmtId="0" fontId="2" fillId="0" borderId="42" xfId="0" applyFont="1" applyBorder="1" applyAlignment="1">
      <alignment vertical="top"/>
    </xf>
    <xf numFmtId="0" fontId="2" fillId="0" borderId="44" xfId="0" applyFont="1" applyBorder="1"/>
    <xf numFmtId="0" fontId="2" fillId="0" borderId="49" xfId="0" applyFont="1" applyBorder="1"/>
    <xf numFmtId="0" fontId="2" fillId="0" borderId="40" xfId="0" applyFont="1" applyBorder="1"/>
    <xf numFmtId="166" fontId="2" fillId="0" borderId="28" xfId="1" applyNumberFormat="1" applyFont="1" applyBorder="1" applyAlignment="1" applyProtection="1">
      <alignment vertical="top"/>
    </xf>
    <xf numFmtId="170" fontId="2" fillId="5" borderId="50" xfId="0" applyNumberFormat="1" applyFont="1" applyFill="1" applyBorder="1" applyAlignment="1" applyProtection="1">
      <alignment vertical="top"/>
      <protection locked="0"/>
    </xf>
    <xf numFmtId="170" fontId="2" fillId="5" borderId="51" xfId="0" applyNumberFormat="1" applyFont="1" applyFill="1" applyBorder="1" applyAlignment="1" applyProtection="1">
      <alignment vertical="top"/>
      <protection locked="0"/>
    </xf>
    <xf numFmtId="175" fontId="9" fillId="0" borderId="24" xfId="16" applyNumberFormat="1" applyFont="1" applyFill="1" applyBorder="1" applyAlignment="1">
      <alignment horizontal="center" vertical="top" wrapText="1"/>
    </xf>
    <xf numFmtId="0" fontId="2" fillId="0" borderId="24" xfId="0" applyFont="1" applyFill="1" applyBorder="1" applyAlignment="1">
      <alignment horizontal="left" vertical="top" wrapText="1"/>
    </xf>
    <xf numFmtId="0" fontId="19" fillId="0" borderId="0" xfId="0" applyFont="1" applyAlignment="1">
      <alignment horizontal="left" vertical="center"/>
    </xf>
    <xf numFmtId="175" fontId="21" fillId="0" borderId="0" xfId="0" applyNumberFormat="1" applyFont="1" applyFill="1" applyAlignment="1">
      <alignment horizontal="left" vertical="center" wrapText="1"/>
    </xf>
    <xf numFmtId="0" fontId="48" fillId="0" borderId="0" xfId="0" applyFont="1" applyAlignment="1">
      <alignment vertical="center"/>
    </xf>
    <xf numFmtId="0" fontId="5" fillId="0" borderId="0" xfId="0" applyFont="1" applyAlignment="1">
      <alignment vertical="top"/>
    </xf>
    <xf numFmtId="0" fontId="9" fillId="4" borderId="32" xfId="0" applyFont="1" applyFill="1" applyBorder="1" applyAlignment="1">
      <alignment vertical="top" wrapText="1"/>
    </xf>
    <xf numFmtId="0" fontId="9" fillId="0" borderId="32" xfId="0" applyFont="1" applyFill="1" applyBorder="1" applyAlignment="1">
      <alignment vertical="top" wrapText="1"/>
    </xf>
    <xf numFmtId="0" fontId="5" fillId="0" borderId="0" xfId="0" applyFont="1" applyAlignment="1">
      <alignment horizontal="left" vertical="top"/>
    </xf>
    <xf numFmtId="0" fontId="2" fillId="0" borderId="0" xfId="0" applyFont="1" applyAlignment="1">
      <alignment horizontal="left" vertical="top" wrapText="1"/>
    </xf>
    <xf numFmtId="0" fontId="9" fillId="0" borderId="0" xfId="0" applyFont="1" applyBorder="1" applyAlignment="1">
      <alignment vertical="top" wrapText="1"/>
    </xf>
    <xf numFmtId="0" fontId="2" fillId="0" borderId="33" xfId="0" applyFont="1" applyBorder="1" applyAlignment="1">
      <alignment vertical="top"/>
    </xf>
    <xf numFmtId="0" fontId="9" fillId="0" borderId="34" xfId="0" applyFont="1" applyBorder="1" applyAlignment="1">
      <alignment vertical="top"/>
    </xf>
    <xf numFmtId="0" fontId="2" fillId="0" borderId="1" xfId="0" applyFont="1" applyBorder="1" applyAlignment="1">
      <alignment vertical="top"/>
    </xf>
    <xf numFmtId="0" fontId="9" fillId="0" borderId="17" xfId="0" applyFont="1" applyBorder="1" applyAlignment="1">
      <alignment vertical="top" wrapText="1"/>
    </xf>
    <xf numFmtId="0" fontId="2" fillId="0" borderId="3" xfId="0" applyFont="1" applyBorder="1" applyAlignment="1">
      <alignment vertical="top"/>
    </xf>
    <xf numFmtId="0" fontId="9" fillId="0" borderId="26" xfId="0" applyFont="1" applyBorder="1" applyAlignment="1">
      <alignment vertical="top"/>
    </xf>
    <xf numFmtId="0" fontId="9" fillId="0" borderId="0" xfId="0" applyFont="1" applyFill="1" applyAlignment="1">
      <alignment horizontal="center" vertical="top" wrapText="1"/>
    </xf>
    <xf numFmtId="0" fontId="10" fillId="0" borderId="24" xfId="0" applyFont="1" applyFill="1" applyBorder="1" applyAlignment="1">
      <alignment horizontal="left" vertical="top" wrapText="1"/>
    </xf>
    <xf numFmtId="0" fontId="9" fillId="0" borderId="24" xfId="16" applyFont="1" applyFill="1" applyBorder="1" applyAlignment="1">
      <alignment horizontal="center" vertical="top" wrapText="1"/>
    </xf>
    <xf numFmtId="0" fontId="9" fillId="0" borderId="24" xfId="16" quotePrefix="1" applyFont="1" applyFill="1" applyBorder="1" applyAlignment="1">
      <alignment horizontal="left" vertical="top" wrapText="1"/>
    </xf>
    <xf numFmtId="0" fontId="10" fillId="0" borderId="0" xfId="0" applyFont="1" applyFill="1"/>
    <xf numFmtId="0" fontId="5" fillId="0" borderId="24" xfId="0" applyFont="1" applyBorder="1" applyAlignment="1">
      <alignment horizontal="center" vertical="center"/>
    </xf>
    <xf numFmtId="0" fontId="10" fillId="0" borderId="18" xfId="0" applyFont="1" applyFill="1" applyBorder="1" applyAlignment="1" applyProtection="1">
      <alignment horizontal="left" vertical="center" wrapText="1"/>
    </xf>
    <xf numFmtId="0" fontId="21" fillId="0" borderId="0" xfId="0" applyFont="1" applyFill="1" applyAlignment="1">
      <alignment horizontal="left" vertical="center"/>
    </xf>
    <xf numFmtId="175" fontId="21" fillId="0" borderId="0" xfId="0" applyNumberFormat="1" applyFont="1" applyFill="1" applyAlignment="1">
      <alignment horizontal="left" vertical="center"/>
    </xf>
    <xf numFmtId="0" fontId="10" fillId="0" borderId="26" xfId="0" applyFont="1" applyBorder="1" applyAlignment="1" applyProtection="1">
      <alignment vertical="top"/>
    </xf>
    <xf numFmtId="0" fontId="10" fillId="0" borderId="18" xfId="0" applyFont="1" applyBorder="1" applyAlignment="1" applyProtection="1">
      <alignment vertical="top"/>
    </xf>
    <xf numFmtId="0" fontId="9" fillId="0" borderId="18" xfId="0" applyFont="1" applyFill="1" applyBorder="1" applyAlignment="1" applyProtection="1">
      <alignment horizontal="left" vertical="center" wrapText="1"/>
    </xf>
    <xf numFmtId="0" fontId="9" fillId="0" borderId="0" xfId="0" applyFont="1" applyBorder="1" applyProtection="1"/>
    <xf numFmtId="0" fontId="9" fillId="0" borderId="0" xfId="0" applyFont="1" applyProtection="1"/>
    <xf numFmtId="0" fontId="10" fillId="0" borderId="15" xfId="0" applyFont="1" applyBorder="1" applyProtection="1"/>
    <xf numFmtId="0" fontId="10" fillId="0" borderId="47" xfId="0" applyFont="1" applyBorder="1" applyProtection="1"/>
    <xf numFmtId="0" fontId="10" fillId="0" borderId="5" xfId="0" applyFont="1" applyBorder="1" applyProtection="1"/>
    <xf numFmtId="0" fontId="10" fillId="0" borderId="4" xfId="0" applyFont="1" applyBorder="1" applyProtection="1"/>
    <xf numFmtId="0" fontId="9" fillId="0" borderId="18" xfId="0" applyFont="1" applyFill="1" applyBorder="1" applyAlignment="1" applyProtection="1">
      <alignment vertical="top" wrapText="1"/>
    </xf>
    <xf numFmtId="171" fontId="9" fillId="0" borderId="24" xfId="1" applyNumberFormat="1" applyFont="1" applyFill="1" applyBorder="1" applyProtection="1"/>
    <xf numFmtId="171" fontId="9" fillId="0" borderId="5" xfId="1" applyNumberFormat="1" applyFont="1" applyFill="1" applyBorder="1" applyProtection="1"/>
    <xf numFmtId="0" fontId="9" fillId="0" borderId="18" xfId="0" applyFont="1" applyBorder="1" applyAlignment="1" applyProtection="1">
      <alignment vertical="top"/>
    </xf>
    <xf numFmtId="0" fontId="10" fillId="0" borderId="18" xfId="0" applyFont="1" applyBorder="1" applyProtection="1"/>
    <xf numFmtId="166" fontId="9" fillId="0" borderId="24" xfId="1" applyNumberFormat="1" applyFont="1" applyBorder="1" applyProtection="1"/>
    <xf numFmtId="166" fontId="9" fillId="0" borderId="5" xfId="1" applyNumberFormat="1" applyFont="1" applyBorder="1" applyProtection="1"/>
    <xf numFmtId="166" fontId="9" fillId="0" borderId="24" xfId="1" applyNumberFormat="1" applyFont="1" applyFill="1" applyBorder="1" applyProtection="1"/>
    <xf numFmtId="166" fontId="9" fillId="0" borderId="5" xfId="1" applyNumberFormat="1" applyFont="1" applyFill="1" applyBorder="1" applyProtection="1"/>
    <xf numFmtId="166" fontId="9" fillId="0" borderId="1" xfId="1" applyNumberFormat="1" applyFont="1" applyFill="1" applyBorder="1" applyProtection="1"/>
    <xf numFmtId="165" fontId="9" fillId="0" borderId="24" xfId="3" applyNumberFormat="1" applyFont="1" applyFill="1" applyBorder="1" applyProtection="1"/>
    <xf numFmtId="165" fontId="9" fillId="0" borderId="5" xfId="3" applyNumberFormat="1" applyFont="1" applyFill="1" applyBorder="1" applyProtection="1"/>
    <xf numFmtId="0" fontId="10" fillId="0" borderId="17" xfId="0" applyFont="1" applyBorder="1" applyAlignment="1" applyProtection="1">
      <alignment vertical="top"/>
    </xf>
    <xf numFmtId="43" fontId="9" fillId="0" borderId="24" xfId="1" applyNumberFormat="1" applyFont="1" applyFill="1" applyBorder="1" applyProtection="1"/>
    <xf numFmtId="43" fontId="9" fillId="0" borderId="5" xfId="1" applyNumberFormat="1" applyFont="1" applyFill="1" applyBorder="1" applyProtection="1"/>
    <xf numFmtId="0" fontId="9" fillId="0" borderId="0" xfId="0" applyFont="1" applyAlignment="1" applyProtection="1">
      <alignment horizontal="center" vertical="center"/>
    </xf>
    <xf numFmtId="0" fontId="9" fillId="0" borderId="18" xfId="0" applyFont="1" applyBorder="1" applyProtection="1"/>
    <xf numFmtId="0" fontId="9" fillId="0" borderId="24" xfId="0" applyFont="1" applyBorder="1" applyAlignment="1" applyProtection="1">
      <alignment horizontal="center" vertical="center"/>
    </xf>
    <xf numFmtId="0" fontId="9" fillId="0" borderId="5" xfId="0" applyFont="1" applyBorder="1" applyAlignment="1" applyProtection="1">
      <alignment horizontal="center" vertical="center"/>
    </xf>
    <xf numFmtId="165" fontId="9" fillId="0" borderId="24" xfId="0" applyNumberFormat="1" applyFont="1" applyBorder="1" applyAlignment="1" applyProtection="1">
      <alignment horizontal="center" vertical="center"/>
    </xf>
    <xf numFmtId="165" fontId="9" fillId="0" borderId="5" xfId="0" applyNumberFormat="1" applyFont="1" applyBorder="1" applyAlignment="1" applyProtection="1">
      <alignment horizontal="center" vertical="center"/>
    </xf>
    <xf numFmtId="172" fontId="9" fillId="0" borderId="24" xfId="0" applyNumberFormat="1" applyFont="1" applyFill="1" applyBorder="1" applyAlignment="1" applyProtection="1">
      <alignment horizontal="right" vertical="center" indent="1"/>
    </xf>
    <xf numFmtId="172" fontId="9" fillId="0" borderId="5" xfId="0" applyNumberFormat="1" applyFont="1" applyFill="1" applyBorder="1" applyAlignment="1" applyProtection="1">
      <alignment horizontal="right" vertical="center" indent="1"/>
    </xf>
    <xf numFmtId="9" fontId="9" fillId="0" borderId="24" xfId="3" applyFont="1" applyBorder="1" applyProtection="1"/>
    <xf numFmtId="9" fontId="9" fillId="0" borderId="5" xfId="3" applyFont="1" applyBorder="1" applyProtection="1"/>
    <xf numFmtId="172" fontId="9" fillId="0" borderId="0" xfId="0" applyNumberFormat="1" applyFont="1" applyProtection="1"/>
    <xf numFmtId="0" fontId="5" fillId="0" borderId="9" xfId="0" applyFont="1" applyBorder="1" applyAlignment="1" applyProtection="1">
      <alignment horizontal="left" vertical="top"/>
    </xf>
    <xf numFmtId="0" fontId="5" fillId="0" borderId="4" xfId="0" applyFont="1" applyBorder="1" applyAlignment="1" applyProtection="1">
      <alignment horizontal="left" vertical="top"/>
    </xf>
    <xf numFmtId="0" fontId="5" fillId="0" borderId="10" xfId="0" applyFont="1" applyBorder="1" applyAlignment="1" applyProtection="1">
      <alignment horizontal="left" vertical="top"/>
    </xf>
    <xf numFmtId="0" fontId="10" fillId="0" borderId="9" xfId="0" applyFont="1" applyFill="1" applyBorder="1" applyAlignment="1" applyProtection="1">
      <alignment horizontal="left" vertical="top"/>
    </xf>
    <xf numFmtId="0" fontId="10" fillId="0" borderId="4" xfId="0" applyFont="1" applyFill="1" applyBorder="1" applyAlignment="1" applyProtection="1">
      <alignment horizontal="left" vertical="top"/>
    </xf>
    <xf numFmtId="0" fontId="10" fillId="0" borderId="10" xfId="0" applyFont="1" applyFill="1" applyBorder="1" applyAlignment="1" applyProtection="1">
      <alignment horizontal="left" vertical="top"/>
    </xf>
    <xf numFmtId="0" fontId="5" fillId="0" borderId="42" xfId="0" applyFont="1" applyBorder="1" applyAlignment="1">
      <alignment horizontal="left"/>
    </xf>
    <xf numFmtId="0" fontId="5" fillId="0" borderId="24" xfId="0" applyFont="1" applyBorder="1" applyAlignment="1">
      <alignment horizontal="left"/>
    </xf>
    <xf numFmtId="0" fontId="5" fillId="0" borderId="44" xfId="0" applyFont="1" applyBorder="1" applyAlignment="1">
      <alignment horizontal="left"/>
    </xf>
    <xf numFmtId="0" fontId="2" fillId="0" borderId="0" xfId="0" applyFont="1" applyBorder="1" applyAlignment="1">
      <alignment vertical="top" wrapText="1"/>
    </xf>
    <xf numFmtId="0" fontId="19" fillId="0" borderId="0" xfId="0" applyFont="1" applyAlignment="1">
      <alignment wrapText="1"/>
    </xf>
    <xf numFmtId="0" fontId="5" fillId="0" borderId="24" xfId="0" applyFont="1" applyBorder="1" applyAlignment="1">
      <alignment horizontal="center" vertical="center"/>
    </xf>
    <xf numFmtId="0" fontId="0" fillId="0" borderId="24" xfId="0" applyBorder="1" applyAlignment="1">
      <alignment horizontal="center" vertical="center"/>
    </xf>
    <xf numFmtId="0" fontId="2" fillId="0" borderId="24" xfId="0" applyFont="1" applyFill="1" applyBorder="1" applyAlignment="1">
      <alignment horizontal="left" vertical="top" wrapText="1"/>
    </xf>
    <xf numFmtId="0" fontId="0" fillId="0" borderId="24" xfId="0" applyBorder="1" applyAlignment="1">
      <alignment wrapText="1"/>
    </xf>
    <xf numFmtId="0" fontId="5" fillId="0" borderId="29"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0" fontId="5" fillId="0" borderId="30" xfId="0" applyFont="1" applyFill="1" applyBorder="1" applyAlignment="1" applyProtection="1">
      <alignment horizontal="center" vertical="center"/>
    </xf>
    <xf numFmtId="0" fontId="10" fillId="0" borderId="5" xfId="0" applyFont="1" applyFill="1" applyBorder="1" applyAlignment="1" applyProtection="1">
      <alignment horizontal="left" vertical="center" wrapText="1"/>
    </xf>
    <xf numFmtId="0" fontId="10" fillId="0" borderId="18" xfId="0" applyFont="1" applyFill="1" applyBorder="1" applyAlignment="1" applyProtection="1">
      <alignment horizontal="left" vertical="center" wrapText="1"/>
    </xf>
  </cellXfs>
  <cellStyles count="21">
    <cellStyle name="Calculation" xfId="11" builtinId="22" hidden="1"/>
    <cellStyle name="Check Cell" xfId="13" builtinId="23" hidden="1"/>
    <cellStyle name="Comma" xfId="1" builtinId="3"/>
    <cellStyle name="Currency" xfId="2" builtinId="4"/>
    <cellStyle name="Data - Fixed" xfId="15" xr:uid="{418817E2-7427-43F8-8137-C76352AA4A3C}"/>
    <cellStyle name="Data - Manual" xfId="19" xr:uid="{2664B6B8-FD07-4459-9C8D-AEB9F6AB8857}"/>
    <cellStyle name="Explanatory Text" xfId="6" builtinId="53" hidden="1" customBuiltin="1"/>
    <cellStyle name="Fixed value" xfId="5" xr:uid="{796A95BA-2B8D-4EFE-B9D0-7F9621FF9E35}"/>
    <cellStyle name="Followed Hyperlink" xfId="8" builtinId="9" hidden="1"/>
    <cellStyle name="Heading" xfId="18" xr:uid="{7C8E1A62-FFB8-4CB7-9123-370EFEC81ED9}"/>
    <cellStyle name="Hyperlink" xfId="7" builtinId="8" hidden="1"/>
    <cellStyle name="Input" xfId="9" builtinId="20" hidden="1"/>
    <cellStyle name="Linked Cell" xfId="12" builtinId="24" hidden="1"/>
    <cellStyle name="Normal" xfId="0" builtinId="0"/>
    <cellStyle name="Normal 2" xfId="16" xr:uid="{0E5ABC5B-8C1D-4CBE-94DC-EC3B9A2DA823}"/>
    <cellStyle name="Output" xfId="10" builtinId="21" hidden="1"/>
    <cellStyle name="Percent" xfId="3" builtinId="5"/>
    <cellStyle name="Value - Calc'n" xfId="20" xr:uid="{312C6512-408A-4E5B-889B-2131BAF0537F}"/>
    <cellStyle name="Value - linked" xfId="17" xr:uid="{26CC0BC6-70EB-4DF2-A545-144591BC3B09}"/>
    <cellStyle name="Value calculated or linked" xfId="4" xr:uid="{C3448980-1FE0-4E54-A188-8DAE566B758B}"/>
    <cellStyle name="Warning Text" xfId="14" builtinId="11" hidden="1"/>
  </cellStyles>
  <dxfs count="19">
    <dxf>
      <font>
        <b/>
        <i val="0"/>
        <color rgb="FFFF0000"/>
      </font>
    </dxf>
    <dxf>
      <fill>
        <patternFill>
          <bgColor theme="3"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2"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ont>
        <b/>
        <i val="0"/>
        <color rgb="FFFF0000"/>
      </font>
    </dxf>
    <dxf>
      <fill>
        <patternFill>
          <bgColor theme="3" tint="0.79998168889431442"/>
        </patternFill>
      </fill>
    </dxf>
    <dxf>
      <fill>
        <patternFill>
          <bgColor theme="8"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626636217651742E-2"/>
          <c:y val="2.5576669683261232E-2"/>
          <c:w val="0.89991612663351661"/>
          <c:h val="0.77606463116410096"/>
        </c:manualLayout>
      </c:layout>
      <c:barChart>
        <c:barDir val="col"/>
        <c:grouping val="clustered"/>
        <c:varyColors val="0"/>
        <c:ser>
          <c:idx val="0"/>
          <c:order val="0"/>
          <c:tx>
            <c:v>Base</c:v>
          </c:tx>
          <c:invertIfNegative val="0"/>
          <c:cat>
            <c:strRef>
              <c:f>Calculator!$B$39:$B$48</c:f>
              <c:strCache>
                <c:ptCount val="10"/>
                <c:pt idx="0">
                  <c:v>Project development and consenting to FID</c:v>
                </c:pt>
                <c:pt idx="1">
                  <c:v>Project development from FID to WCD</c:v>
                </c:pt>
                <c:pt idx="2">
                  <c:v>Turbine (excluding tower)</c:v>
                </c:pt>
                <c:pt idx="3">
                  <c:v>Tower</c:v>
                </c:pt>
                <c:pt idx="4">
                  <c:v>Support structure</c:v>
                </c:pt>
                <c:pt idx="5">
                  <c:v>Array cables</c:v>
                </c:pt>
                <c:pt idx="6">
                  <c:v>Installation </c:v>
                </c:pt>
                <c:pt idx="7">
                  <c:v>Transmission supply and installation</c:v>
                </c:pt>
                <c:pt idx="8">
                  <c:v>Construction phase insurance</c:v>
                </c:pt>
                <c:pt idx="9">
                  <c:v>Construction contingency</c:v>
                </c:pt>
              </c:strCache>
            </c:strRef>
          </c:cat>
          <c:val>
            <c:numRef>
              <c:f>Calculator!$C$39:$C$48</c:f>
              <c:numCache>
                <c:formatCode>_-* #,##0_-;\-* #,##0_-;_-* "-"??_-;_-@_-</c:formatCode>
                <c:ptCount val="10"/>
                <c:pt idx="0">
                  <c:v>41.7</c:v>
                </c:pt>
                <c:pt idx="1">
                  <c:v>41.7</c:v>
                </c:pt>
                <c:pt idx="2">
                  <c:v>811.4</c:v>
                </c:pt>
                <c:pt idx="3">
                  <c:v>70.8</c:v>
                </c:pt>
                <c:pt idx="4">
                  <c:v>178.2</c:v>
                </c:pt>
                <c:pt idx="5">
                  <c:v>22.7</c:v>
                </c:pt>
                <c:pt idx="6">
                  <c:v>131.1</c:v>
                </c:pt>
                <c:pt idx="7">
                  <c:v>332.3</c:v>
                </c:pt>
                <c:pt idx="8">
                  <c:v>37.799999999999997</c:v>
                </c:pt>
                <c:pt idx="9">
                  <c:v>79.41</c:v>
                </c:pt>
              </c:numCache>
            </c:numRef>
          </c:val>
          <c:extLst>
            <c:ext xmlns:c16="http://schemas.microsoft.com/office/drawing/2014/chart" uri="{C3380CC4-5D6E-409C-BE32-E72D297353CC}">
              <c16:uniqueId val="{00000000-4A6F-4350-925B-A870669485EC}"/>
            </c:ext>
          </c:extLst>
        </c:ser>
        <c:ser>
          <c:idx val="1"/>
          <c:order val="1"/>
          <c:tx>
            <c:v>With innovation</c:v>
          </c:tx>
          <c:invertIfNegative val="0"/>
          <c:val>
            <c:numRef>
              <c:f>Calculator!$G$39:$G$48</c:f>
              <c:numCache>
                <c:formatCode>_-* #,##0_-;\-* #,##0_-;_-* "-"??_-;_-@_-</c:formatCode>
                <c:ptCount val="10"/>
                <c:pt idx="0">
                  <c:v>41.7</c:v>
                </c:pt>
                <c:pt idx="1">
                  <c:v>41.7</c:v>
                </c:pt>
                <c:pt idx="2">
                  <c:v>811.4</c:v>
                </c:pt>
                <c:pt idx="3">
                  <c:v>70.8</c:v>
                </c:pt>
                <c:pt idx="4">
                  <c:v>178.2</c:v>
                </c:pt>
                <c:pt idx="5">
                  <c:v>22.7</c:v>
                </c:pt>
                <c:pt idx="6">
                  <c:v>131.1</c:v>
                </c:pt>
                <c:pt idx="7">
                  <c:v>332.3</c:v>
                </c:pt>
                <c:pt idx="8">
                  <c:v>37.799999999999997</c:v>
                </c:pt>
                <c:pt idx="9">
                  <c:v>79.41</c:v>
                </c:pt>
              </c:numCache>
            </c:numRef>
          </c:val>
          <c:extLst>
            <c:ext xmlns:c16="http://schemas.microsoft.com/office/drawing/2014/chart" uri="{C3380CC4-5D6E-409C-BE32-E72D297353CC}">
              <c16:uniqueId val="{00000001-4A6F-4350-925B-A870669485EC}"/>
            </c:ext>
          </c:extLst>
        </c:ser>
        <c:dLbls>
          <c:showLegendKey val="0"/>
          <c:showVal val="0"/>
          <c:showCatName val="0"/>
          <c:showSerName val="0"/>
          <c:showPercent val="0"/>
          <c:showBubbleSize val="0"/>
        </c:dLbls>
        <c:gapWidth val="150"/>
        <c:axId val="138254592"/>
        <c:axId val="172589440"/>
      </c:barChart>
      <c:catAx>
        <c:axId val="138254592"/>
        <c:scaling>
          <c:orientation val="minMax"/>
        </c:scaling>
        <c:delete val="0"/>
        <c:axPos val="b"/>
        <c:numFmt formatCode="General" sourceLinked="0"/>
        <c:majorTickMark val="out"/>
        <c:minorTickMark val="none"/>
        <c:tickLblPos val="nextTo"/>
        <c:crossAx val="172589440"/>
        <c:crosses val="autoZero"/>
        <c:auto val="1"/>
        <c:lblAlgn val="ctr"/>
        <c:lblOffset val="100"/>
        <c:noMultiLvlLbl val="0"/>
      </c:catAx>
      <c:valAx>
        <c:axId val="172589440"/>
        <c:scaling>
          <c:orientation val="minMax"/>
          <c:min val="0"/>
        </c:scaling>
        <c:delete val="0"/>
        <c:axPos val="l"/>
        <c:majorGridlines/>
        <c:title>
          <c:tx>
            <c:strRef>
              <c:f>Calculator!$M$29</c:f>
              <c:strCache>
                <c:ptCount val="1"/>
                <c:pt idx="0">
                  <c:v>CAPEX for FID 2025 (2020 £/MWh)</c:v>
                </c:pt>
              </c:strCache>
            </c:strRef>
          </c:tx>
          <c:overlay val="0"/>
          <c:txPr>
            <a:bodyPr rot="-5400000" vert="horz"/>
            <a:lstStyle/>
            <a:p>
              <a:pPr>
                <a:defRPr/>
              </a:pPr>
              <a:endParaRPr lang="en-US"/>
            </a:p>
          </c:txPr>
        </c:title>
        <c:numFmt formatCode="#,##0" sourceLinked="0"/>
        <c:majorTickMark val="out"/>
        <c:minorTickMark val="none"/>
        <c:tickLblPos val="nextTo"/>
        <c:crossAx val="138254592"/>
        <c:crosses val="autoZero"/>
        <c:crossBetween val="between"/>
        <c:majorUnit val="250"/>
      </c:valAx>
    </c:plotArea>
    <c:legend>
      <c:legendPos val="b"/>
      <c:overlay val="0"/>
    </c:legend>
    <c:plotVisOnly val="1"/>
    <c:dispBlanksAs val="gap"/>
    <c:showDLblsOverMax val="0"/>
  </c:chart>
  <c:spPr>
    <a:ln>
      <a:noFill/>
    </a:ln>
  </c:spPr>
  <c:txPr>
    <a:bodyPr/>
    <a:lstStyle/>
    <a:p>
      <a:pPr>
        <a:defRPr sz="900">
          <a:latin typeface="Arial" pitchFamily="34" charset="0"/>
          <a:cs typeface="Arial" pitchFamily="34" charset="0"/>
        </a:defRPr>
      </a:pPr>
      <a:endParaRPr lang="en-US"/>
    </a:p>
  </c:txPr>
  <c:printSettings>
    <c:headerFooter/>
    <c:pageMargins b="0.75000000000000266" l="0.70000000000000062" r="0.70000000000000062" t="0.75000000000000266"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Base</c:v>
          </c:tx>
          <c:invertIfNegative val="0"/>
          <c:cat>
            <c:strRef>
              <c:f>Calculator!$B$52:$B$54</c:f>
              <c:strCache>
                <c:ptCount val="3"/>
                <c:pt idx="0">
                  <c:v>Operation, maintenance and service (OMS)</c:v>
                </c:pt>
                <c:pt idx="1">
                  <c:v>Operating phase insurance</c:v>
                </c:pt>
                <c:pt idx="2">
                  <c:v>Transmission charges</c:v>
                </c:pt>
              </c:strCache>
            </c:strRef>
          </c:cat>
          <c:val>
            <c:numRef>
              <c:f>Calculator!$C$52:$C$54</c:f>
              <c:numCache>
                <c:formatCode>_-* #,##0_-;\-* #,##0_-;_-* "-"??_-;_-@_-</c:formatCode>
                <c:ptCount val="3"/>
                <c:pt idx="0">
                  <c:v>11.3</c:v>
                </c:pt>
                <c:pt idx="1">
                  <c:v>3.5</c:v>
                </c:pt>
                <c:pt idx="2">
                  <c:v>12.3</c:v>
                </c:pt>
              </c:numCache>
            </c:numRef>
          </c:val>
          <c:extLst>
            <c:ext xmlns:c16="http://schemas.microsoft.com/office/drawing/2014/chart" uri="{C3380CC4-5D6E-409C-BE32-E72D297353CC}">
              <c16:uniqueId val="{00000000-F0C8-434D-B581-7776FEDC871E}"/>
            </c:ext>
          </c:extLst>
        </c:ser>
        <c:ser>
          <c:idx val="1"/>
          <c:order val="1"/>
          <c:tx>
            <c:v>With innovation</c:v>
          </c:tx>
          <c:invertIfNegative val="0"/>
          <c:val>
            <c:numRef>
              <c:f>Calculator!$G$52:$G$54</c:f>
              <c:numCache>
                <c:formatCode>_-* #,##0_-;\-* #,##0_-;_-* "-"??_-;_-@_-</c:formatCode>
                <c:ptCount val="3"/>
                <c:pt idx="0">
                  <c:v>11.3</c:v>
                </c:pt>
                <c:pt idx="1">
                  <c:v>3.5</c:v>
                </c:pt>
                <c:pt idx="2">
                  <c:v>12.3</c:v>
                </c:pt>
              </c:numCache>
            </c:numRef>
          </c:val>
          <c:extLst>
            <c:ext xmlns:c16="http://schemas.microsoft.com/office/drawing/2014/chart" uri="{C3380CC4-5D6E-409C-BE32-E72D297353CC}">
              <c16:uniqueId val="{00000001-F0C8-434D-B581-7776FEDC871E}"/>
            </c:ext>
          </c:extLst>
        </c:ser>
        <c:dLbls>
          <c:showLegendKey val="0"/>
          <c:showVal val="0"/>
          <c:showCatName val="0"/>
          <c:showSerName val="0"/>
          <c:showPercent val="0"/>
          <c:showBubbleSize val="0"/>
        </c:dLbls>
        <c:gapWidth val="150"/>
        <c:axId val="251250176"/>
        <c:axId val="251252096"/>
      </c:barChart>
      <c:catAx>
        <c:axId val="251250176"/>
        <c:scaling>
          <c:orientation val="minMax"/>
        </c:scaling>
        <c:delete val="0"/>
        <c:axPos val="b"/>
        <c:numFmt formatCode="General" sourceLinked="0"/>
        <c:majorTickMark val="out"/>
        <c:minorTickMark val="none"/>
        <c:tickLblPos val="nextTo"/>
        <c:crossAx val="251252096"/>
        <c:crosses val="autoZero"/>
        <c:auto val="1"/>
        <c:lblAlgn val="ctr"/>
        <c:lblOffset val="100"/>
        <c:noMultiLvlLbl val="0"/>
      </c:catAx>
      <c:valAx>
        <c:axId val="251252096"/>
        <c:scaling>
          <c:orientation val="minMax"/>
          <c:max val="30"/>
        </c:scaling>
        <c:delete val="0"/>
        <c:axPos val="l"/>
        <c:majorGridlines/>
        <c:title>
          <c:tx>
            <c:strRef>
              <c:f>Calculator!$M$30</c:f>
              <c:strCache>
                <c:ptCount val="1"/>
                <c:pt idx="0">
                  <c:v>OPEX for FID 2025 (2020 £/MW/year)</c:v>
                </c:pt>
              </c:strCache>
            </c:strRef>
          </c:tx>
          <c:overlay val="0"/>
          <c:txPr>
            <a:bodyPr rot="-5400000" vert="horz"/>
            <a:lstStyle/>
            <a:p>
              <a:pPr>
                <a:defRPr/>
              </a:pPr>
              <a:endParaRPr lang="en-US"/>
            </a:p>
          </c:txPr>
        </c:title>
        <c:numFmt formatCode="#,##0" sourceLinked="0"/>
        <c:majorTickMark val="out"/>
        <c:minorTickMark val="none"/>
        <c:tickLblPos val="nextTo"/>
        <c:crossAx val="251250176"/>
        <c:crosses val="autoZero"/>
        <c:crossBetween val="between"/>
        <c:majorUnit val="10"/>
      </c:valAx>
    </c:plotArea>
    <c:legend>
      <c:legendPos val="b"/>
      <c:overlay val="0"/>
    </c:legend>
    <c:plotVisOnly val="1"/>
    <c:dispBlanksAs val="gap"/>
    <c:showDLblsOverMax val="0"/>
  </c:chart>
  <c:spPr>
    <a:ln>
      <a:noFill/>
    </a:ln>
  </c:spPr>
  <c:txPr>
    <a:bodyPr/>
    <a:lstStyle/>
    <a:p>
      <a:pPr>
        <a:defRPr sz="900">
          <a:latin typeface="Arial" pitchFamily="34" charset="0"/>
          <a:cs typeface="Arial" pitchFamily="34" charset="0"/>
        </a:defRPr>
      </a:pPr>
      <a:endParaRPr lang="en-US"/>
    </a:p>
  </c:txPr>
  <c:printSettings>
    <c:headerFooter/>
    <c:pageMargins b="0.75000000000000289" l="0.70000000000000062" r="0.70000000000000062" t="0.75000000000000289"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8</xdr:col>
      <xdr:colOff>142875</xdr:colOff>
      <xdr:row>0</xdr:row>
      <xdr:rowOff>53975</xdr:rowOff>
    </xdr:from>
    <xdr:to>
      <xdr:col>8</xdr:col>
      <xdr:colOff>2810310</xdr:colOff>
      <xdr:row>4</xdr:row>
      <xdr:rowOff>229138</xdr:rowOff>
    </xdr:to>
    <xdr:pic>
      <xdr:nvPicPr>
        <xdr:cNvPr id="3" name="Picture 2">
          <a:extLst>
            <a:ext uri="{FF2B5EF4-FFF2-40B4-BE49-F238E27FC236}">
              <a16:creationId xmlns:a16="http://schemas.microsoft.com/office/drawing/2014/main" id="{828FF727-6043-475C-8116-6856C5D6A6A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137525" y="53975"/>
          <a:ext cx="2667435" cy="12922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6257925</xdr:colOff>
      <xdr:row>0</xdr:row>
      <xdr:rowOff>57150</xdr:rowOff>
    </xdr:from>
    <xdr:to>
      <xdr:col>3</xdr:col>
      <xdr:colOff>267135</xdr:colOff>
      <xdr:row>4</xdr:row>
      <xdr:rowOff>232313</xdr:rowOff>
    </xdr:to>
    <xdr:pic>
      <xdr:nvPicPr>
        <xdr:cNvPr id="3" name="Picture 2">
          <a:extLst>
            <a:ext uri="{FF2B5EF4-FFF2-40B4-BE49-F238E27FC236}">
              <a16:creationId xmlns:a16="http://schemas.microsoft.com/office/drawing/2014/main" id="{91067C5D-7272-4FD4-8CCC-85704B7C6C0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305800" y="57150"/>
          <a:ext cx="2667435" cy="129911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1847850</xdr:colOff>
      <xdr:row>0</xdr:row>
      <xdr:rowOff>57150</xdr:rowOff>
    </xdr:from>
    <xdr:to>
      <xdr:col>4</xdr:col>
      <xdr:colOff>438585</xdr:colOff>
      <xdr:row>5</xdr:row>
      <xdr:rowOff>3713</xdr:rowOff>
    </xdr:to>
    <xdr:pic>
      <xdr:nvPicPr>
        <xdr:cNvPr id="4" name="Picture 3">
          <a:extLst>
            <a:ext uri="{FF2B5EF4-FFF2-40B4-BE49-F238E27FC236}">
              <a16:creationId xmlns:a16="http://schemas.microsoft.com/office/drawing/2014/main" id="{D4CEF13E-05CE-4A5B-B6A0-C75A4578270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305800" y="57150"/>
          <a:ext cx="2667435" cy="12991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809625</xdr:colOff>
      <xdr:row>0</xdr:row>
      <xdr:rowOff>57150</xdr:rowOff>
    </xdr:from>
    <xdr:to>
      <xdr:col>3</xdr:col>
      <xdr:colOff>3477060</xdr:colOff>
      <xdr:row>5</xdr:row>
      <xdr:rowOff>70388</xdr:rowOff>
    </xdr:to>
    <xdr:pic>
      <xdr:nvPicPr>
        <xdr:cNvPr id="5" name="Picture 4">
          <a:extLst>
            <a:ext uri="{FF2B5EF4-FFF2-40B4-BE49-F238E27FC236}">
              <a16:creationId xmlns:a16="http://schemas.microsoft.com/office/drawing/2014/main" id="{481ADDAA-4DC8-4E2C-8964-9AF2001A437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305800" y="57150"/>
          <a:ext cx="2667435" cy="1299113"/>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162056</xdr:colOff>
      <xdr:row>32</xdr:row>
      <xdr:rowOff>141066</xdr:rowOff>
    </xdr:from>
    <xdr:to>
      <xdr:col>26</xdr:col>
      <xdr:colOff>514350</xdr:colOff>
      <xdr:row>63</xdr:row>
      <xdr:rowOff>135725</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320854</xdr:colOff>
      <xdr:row>67</xdr:row>
      <xdr:rowOff>59869</xdr:rowOff>
    </xdr:from>
    <xdr:to>
      <xdr:col>18</xdr:col>
      <xdr:colOff>552449</xdr:colOff>
      <xdr:row>88</xdr:row>
      <xdr:rowOff>9525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885825</xdr:colOff>
      <xdr:row>0</xdr:row>
      <xdr:rowOff>66675</xdr:rowOff>
    </xdr:from>
    <xdr:to>
      <xdr:col>8</xdr:col>
      <xdr:colOff>143310</xdr:colOff>
      <xdr:row>5</xdr:row>
      <xdr:rowOff>118013</xdr:rowOff>
    </xdr:to>
    <xdr:pic>
      <xdr:nvPicPr>
        <xdr:cNvPr id="6" name="Picture 5">
          <a:extLst>
            <a:ext uri="{FF2B5EF4-FFF2-40B4-BE49-F238E27FC236}">
              <a16:creationId xmlns:a16="http://schemas.microsoft.com/office/drawing/2014/main" id="{42665B75-9152-443B-9514-AAF5731AF90A}"/>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8124825" y="66675"/>
          <a:ext cx="2667435" cy="12991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europa.eu.int/DATA/vapeur/prixtrim/year1999/3vap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europa.eu.int/CoalPrices/steam%20coal/Prices/year2000/1steam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A Lire &amp; lancement de macros."/>
      <sheetName val="Basic Information"/>
      <sheetName val="Portugal"/>
      <sheetName val="Spain"/>
      <sheetName val="Data Input"/>
      <sheetName val="Minimum &amp; Maximum Prices $.tce"/>
      <sheetName val="Final Results"/>
      <sheetName val="Annual Data"/>
      <sheetName val="To Print"/>
      <sheetName val="Print Macro"/>
      <sheetName val="Mise à zéro"/>
      <sheetName val="Macro Copy to Annual Data"/>
    </sheetNames>
    <sheetDataSet>
      <sheetData sheetId="0"/>
      <sheetData sheetId="1"/>
      <sheetData sheetId="2"/>
      <sheetData sheetId="3"/>
      <sheetData sheetId="4"/>
      <sheetData sheetId="5"/>
      <sheetData sheetId="6" refreshError="1"/>
      <sheetData sheetId="7"/>
      <sheetData sheetId="8"/>
      <sheetData sheetId="9"/>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A Lire &amp; lancement de macros."/>
      <sheetName val="Basic Information"/>
      <sheetName val="Portugal"/>
      <sheetName val="Spain"/>
      <sheetName val="Data Input"/>
      <sheetName val="Minimum &amp; Maximum Prices $.tce"/>
      <sheetName val="Final Results"/>
      <sheetName val="Annual Data"/>
      <sheetName val="To Print"/>
      <sheetName val="Print Macro"/>
      <sheetName val="Mise à zéro"/>
      <sheetName val="Macro Copy to Annual Data"/>
    </sheetNames>
    <sheetDataSet>
      <sheetData sheetId="0" refreshError="1"/>
      <sheetData sheetId="1"/>
      <sheetData sheetId="2" refreshError="1"/>
      <sheetData sheetId="3" refreshError="1"/>
      <sheetData sheetId="4" refreshError="1"/>
      <sheetData sheetId="5"/>
      <sheetData sheetId="6" refreshError="1"/>
      <sheetData sheetId="7"/>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Supply chain colours">
      <a:dk1>
        <a:srgbClr val="000000"/>
      </a:dk1>
      <a:lt1>
        <a:srgbClr val="FFFFFF"/>
      </a:lt1>
      <a:dk2>
        <a:srgbClr val="BE0F00"/>
      </a:dk2>
      <a:lt2>
        <a:srgbClr val="F0780A"/>
      </a:lt2>
      <a:accent1>
        <a:srgbClr val="96C864"/>
      </a:accent1>
      <a:accent2>
        <a:srgbClr val="00AAF0"/>
      </a:accent2>
      <a:accent3>
        <a:srgbClr val="6E32A0"/>
      </a:accent3>
      <a:accent4>
        <a:srgbClr val="3B499F"/>
      </a:accent4>
      <a:accent5>
        <a:srgbClr val="4AAB27"/>
      </a:accent5>
      <a:accent6>
        <a:srgbClr val="019EC5"/>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14"/>
  <sheetViews>
    <sheetView showGridLines="0" zoomScaleNormal="100" workbookViewId="0"/>
  </sheetViews>
  <sheetFormatPr defaultColWidth="9.140625" defaultRowHeight="12.75" x14ac:dyDescent="0.2"/>
  <cols>
    <col min="1" max="1" width="14.85546875" style="279" customWidth="1"/>
    <col min="2" max="2" width="10.140625" style="279" bestFit="1" customWidth="1"/>
    <col min="3" max="3" width="14.85546875" style="279" bestFit="1" customWidth="1"/>
    <col min="4" max="4" width="18.28515625" style="279" customWidth="1"/>
    <col min="5" max="5" width="13.5703125" style="279" customWidth="1"/>
    <col min="6" max="6" width="19.42578125" style="279" customWidth="1"/>
    <col min="7" max="7" width="11.28515625" style="279" bestFit="1" customWidth="1"/>
    <col min="8" max="8" width="20" style="279" customWidth="1"/>
    <col min="9" max="9" width="42.42578125" style="279" customWidth="1"/>
    <col min="10" max="16384" width="9.140625" style="279"/>
  </cols>
  <sheetData>
    <row r="1" spans="1:10" ht="30" x14ac:dyDescent="0.4">
      <c r="A1" s="201" t="str">
        <f>'Contents and instructions'!A1</f>
        <v>BEIS Offshore Wind Programme</v>
      </c>
    </row>
    <row r="2" spans="1:10" ht="30" x14ac:dyDescent="0.4">
      <c r="A2" s="201" t="str">
        <f>'Contents and instructions'!A2</f>
        <v>Innovation Impact on Levelised Cost of Energy Model</v>
      </c>
    </row>
    <row r="3" spans="1:10" ht="14.25" x14ac:dyDescent="0.2">
      <c r="A3" s="384" t="str">
        <f>'Contents and instructions'!A3</f>
        <v>Revision 4</v>
      </c>
    </row>
    <row r="4" spans="1:10" ht="14.25" x14ac:dyDescent="0.2">
      <c r="A4" s="385">
        <f>'Contents and instructions'!A4</f>
        <v>44286</v>
      </c>
    </row>
    <row r="5" spans="1:10" ht="30" x14ac:dyDescent="0.4">
      <c r="A5" s="201"/>
    </row>
    <row r="6" spans="1:10" s="377" customFormat="1" x14ac:dyDescent="0.2">
      <c r="B6" s="232" t="s">
        <v>189</v>
      </c>
      <c r="C6" s="232" t="s">
        <v>192</v>
      </c>
      <c r="D6" s="232" t="s">
        <v>195</v>
      </c>
      <c r="E6" s="232" t="s">
        <v>193</v>
      </c>
      <c r="F6" s="232" t="s">
        <v>195</v>
      </c>
      <c r="G6" s="232" t="s">
        <v>194</v>
      </c>
      <c r="H6" s="232" t="s">
        <v>195</v>
      </c>
      <c r="I6" s="378" t="s">
        <v>57</v>
      </c>
      <c r="J6" s="279"/>
    </row>
    <row r="7" spans="1:10" s="377" customFormat="1" ht="25.5" x14ac:dyDescent="0.2">
      <c r="B7" s="232">
        <v>4</v>
      </c>
      <c r="C7" s="379" t="s">
        <v>188</v>
      </c>
      <c r="D7" s="360">
        <v>44286</v>
      </c>
      <c r="E7" s="379" t="s">
        <v>187</v>
      </c>
      <c r="F7" s="360">
        <v>44286</v>
      </c>
      <c r="G7" s="360" t="s">
        <v>308</v>
      </c>
      <c r="H7" s="360">
        <v>44286</v>
      </c>
      <c r="I7" s="253" t="s">
        <v>296</v>
      </c>
      <c r="J7" s="279"/>
    </row>
    <row r="8" spans="1:10" s="377" customFormat="1" x14ac:dyDescent="0.2">
      <c r="B8" s="232">
        <v>3</v>
      </c>
      <c r="C8" s="379" t="s">
        <v>187</v>
      </c>
      <c r="D8" s="360">
        <v>42270</v>
      </c>
      <c r="E8" s="379" t="s">
        <v>188</v>
      </c>
      <c r="F8" s="360">
        <v>42270</v>
      </c>
      <c r="G8" s="379" t="s">
        <v>187</v>
      </c>
      <c r="H8" s="360">
        <v>42270</v>
      </c>
      <c r="I8" s="380" t="s">
        <v>190</v>
      </c>
      <c r="J8" s="279"/>
    </row>
    <row r="9" spans="1:10" x14ac:dyDescent="0.2">
      <c r="A9" s="377"/>
    </row>
    <row r="10" spans="1:10" x14ac:dyDescent="0.2">
      <c r="A10" s="377"/>
      <c r="B10" s="381"/>
      <c r="C10" s="381"/>
    </row>
    <row r="11" spans="1:10" x14ac:dyDescent="0.2">
      <c r="A11" s="377"/>
      <c r="B11" s="381"/>
      <c r="C11" s="381"/>
    </row>
    <row r="12" spans="1:10" x14ac:dyDescent="0.2">
      <c r="A12" s="381"/>
      <c r="B12" s="381"/>
      <c r="C12" s="381"/>
    </row>
    <row r="13" spans="1:10" x14ac:dyDescent="0.2">
      <c r="A13" s="381"/>
      <c r="B13" s="381"/>
      <c r="C13" s="381"/>
    </row>
    <row r="14" spans="1:10" x14ac:dyDescent="0.2">
      <c r="A14" s="381"/>
      <c r="B14" s="381"/>
      <c r="C14" s="381"/>
    </row>
  </sheetData>
  <sheetProtection algorithmName="SHA-512" hashValue="oVggQ/pnnjDfjIbYwijM3l6+exeeODaLK4G2yzC3bHVHwgCU4ASMjsUVWbF+USCddC2envh1AxFEVcNqgHjj7g==" saltValue="eN1VIzqhKTwPd+UxfrfamA==" spinCount="100000" sheet="1" objects="1" scenarios="1"/>
  <customSheetViews>
    <customSheetView guid="{6EFC19BA-DD6E-47CD-9957-A134841DA95E}" scale="115">
      <selection activeCell="H6" sqref="H6"/>
      <pageMargins left="0.7" right="0.7" top="0.75" bottom="0.75" header="0.3" footer="0.3"/>
      <pageSetup orientation="portrait" r:id="rId1"/>
    </customSheetView>
  </customSheetView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D29"/>
  <sheetViews>
    <sheetView showGridLines="0" tabSelected="1" zoomScaleNormal="100" workbookViewId="0"/>
  </sheetViews>
  <sheetFormatPr defaultColWidth="9.140625" defaultRowHeight="14.25" x14ac:dyDescent="0.2"/>
  <cols>
    <col min="1" max="1" width="30.7109375" style="136" customWidth="1"/>
    <col min="2" max="2" width="120.5703125" style="136" customWidth="1"/>
    <col min="3" max="3" width="9.28515625" style="136" customWidth="1"/>
    <col min="4" max="4" width="9.140625" style="136" customWidth="1"/>
    <col min="5" max="16384" width="9.140625" style="136"/>
  </cols>
  <sheetData>
    <row r="1" spans="1:4" ht="30" x14ac:dyDescent="0.4">
      <c r="A1" s="201" t="s">
        <v>112</v>
      </c>
      <c r="B1" s="202"/>
      <c r="C1" s="202"/>
      <c r="D1" s="202"/>
    </row>
    <row r="2" spans="1:4" ht="30" x14ac:dyDescent="0.4">
      <c r="A2" s="201" t="s">
        <v>191</v>
      </c>
      <c r="B2" s="202"/>
      <c r="C2" s="202"/>
      <c r="D2" s="202"/>
    </row>
    <row r="3" spans="1:4" x14ac:dyDescent="0.2">
      <c r="A3" s="362" t="s">
        <v>110</v>
      </c>
      <c r="B3" s="202"/>
      <c r="C3" s="202"/>
      <c r="D3" s="202"/>
    </row>
    <row r="4" spans="1:4" x14ac:dyDescent="0.2">
      <c r="A4" s="363">
        <f>About!H7</f>
        <v>44286</v>
      </c>
      <c r="B4" s="202"/>
      <c r="C4" s="202"/>
      <c r="D4" s="202"/>
    </row>
    <row r="5" spans="1:4" ht="21" customHeight="1" x14ac:dyDescent="0.2">
      <c r="A5" s="202"/>
      <c r="B5" s="202"/>
      <c r="C5" s="202"/>
      <c r="D5" s="202"/>
    </row>
    <row r="6" spans="1:4" s="179" customFormat="1" ht="25.5" x14ac:dyDescent="0.2">
      <c r="A6" s="365" t="s">
        <v>41</v>
      </c>
      <c r="B6" s="366" t="s">
        <v>246</v>
      </c>
    </row>
    <row r="7" spans="1:4" s="179" customFormat="1" ht="25.5" x14ac:dyDescent="0.2">
      <c r="A7" s="365"/>
      <c r="B7" s="366" t="s">
        <v>303</v>
      </c>
    </row>
    <row r="8" spans="1:4" s="179" customFormat="1" ht="16.5" customHeight="1" x14ac:dyDescent="0.2">
      <c r="A8" s="365"/>
      <c r="B8" s="367" t="s">
        <v>304</v>
      </c>
    </row>
    <row r="9" spans="1:4" s="179" customFormat="1" ht="38.25" x14ac:dyDescent="0.2">
      <c r="A9" s="365"/>
      <c r="B9" s="366" t="s">
        <v>270</v>
      </c>
    </row>
    <row r="10" spans="1:4" s="179" customFormat="1" ht="12.75" x14ac:dyDescent="0.2">
      <c r="A10" s="365"/>
      <c r="B10" s="366" t="s">
        <v>217</v>
      </c>
    </row>
    <row r="11" spans="1:4" s="179" customFormat="1" ht="18" customHeight="1" x14ac:dyDescent="0.2">
      <c r="A11" s="365"/>
      <c r="B11" s="328" t="s">
        <v>245</v>
      </c>
    </row>
    <row r="12" spans="1:4" s="179" customFormat="1" ht="12.75" x14ac:dyDescent="0.2">
      <c r="B12" s="315"/>
    </row>
    <row r="13" spans="1:4" s="179" customFormat="1" ht="51" x14ac:dyDescent="0.2">
      <c r="A13" s="365" t="s">
        <v>109</v>
      </c>
      <c r="B13" s="328" t="s">
        <v>244</v>
      </c>
    </row>
    <row r="14" spans="1:4" s="179" customFormat="1" ht="12.75" x14ac:dyDescent="0.2"/>
    <row r="15" spans="1:4" s="179" customFormat="1" ht="25.5" x14ac:dyDescent="0.2">
      <c r="A15" s="368" t="s">
        <v>56</v>
      </c>
      <c r="B15" s="369" t="s">
        <v>310</v>
      </c>
    </row>
    <row r="16" spans="1:4" s="179" customFormat="1" ht="12.75" x14ac:dyDescent="0.2">
      <c r="B16" s="179" t="s">
        <v>311</v>
      </c>
    </row>
    <row r="17" spans="1:2" s="179" customFormat="1" ht="12.75" x14ac:dyDescent="0.2">
      <c r="B17" s="370"/>
    </row>
    <row r="18" spans="1:2" s="179" customFormat="1" ht="12.75" x14ac:dyDescent="0.2">
      <c r="A18" s="365" t="s">
        <v>37</v>
      </c>
      <c r="B18" s="316"/>
    </row>
    <row r="19" spans="1:2" s="179" customFormat="1" ht="12.75" x14ac:dyDescent="0.2">
      <c r="A19" s="371" t="s">
        <v>38</v>
      </c>
      <c r="B19" s="372" t="s">
        <v>73</v>
      </c>
    </row>
    <row r="20" spans="1:2" s="179" customFormat="1" ht="12.75" x14ac:dyDescent="0.2">
      <c r="A20" s="373" t="s">
        <v>39</v>
      </c>
      <c r="B20" s="374" t="s">
        <v>74</v>
      </c>
    </row>
    <row r="21" spans="1:2" s="179" customFormat="1" ht="12.75" x14ac:dyDescent="0.2">
      <c r="A21" s="373" t="s">
        <v>40</v>
      </c>
      <c r="B21" s="374" t="s">
        <v>76</v>
      </c>
    </row>
    <row r="22" spans="1:2" s="179" customFormat="1" ht="12.75" x14ac:dyDescent="0.2">
      <c r="A22" s="375" t="s">
        <v>42</v>
      </c>
      <c r="B22" s="376" t="s">
        <v>75</v>
      </c>
    </row>
    <row r="23" spans="1:2" s="179" customFormat="1" ht="12.75" x14ac:dyDescent="0.2"/>
    <row r="24" spans="1:2" s="179" customFormat="1" ht="13.5" thickBot="1" x14ac:dyDescent="0.25">
      <c r="A24" s="365" t="s">
        <v>62</v>
      </c>
      <c r="B24" s="71"/>
    </row>
    <row r="25" spans="1:2" s="179" customFormat="1" ht="13.5" thickBot="1" x14ac:dyDescent="0.25">
      <c r="A25" s="74">
        <v>20</v>
      </c>
      <c r="B25" s="71" t="s">
        <v>58</v>
      </c>
    </row>
    <row r="26" spans="1:2" s="179" customFormat="1" ht="13.5" thickBot="1" x14ac:dyDescent="0.25">
      <c r="A26" s="72">
        <v>20</v>
      </c>
      <c r="B26" s="71" t="s">
        <v>59</v>
      </c>
    </row>
    <row r="27" spans="1:2" s="179" customFormat="1" ht="13.5" thickBot="1" x14ac:dyDescent="0.25">
      <c r="A27" s="73">
        <v>20</v>
      </c>
      <c r="B27" s="71" t="s">
        <v>60</v>
      </c>
    </row>
    <row r="28" spans="1:2" s="179" customFormat="1" ht="12.75" x14ac:dyDescent="0.2"/>
    <row r="29" spans="1:2" s="179" customFormat="1" ht="12.75" x14ac:dyDescent="0.2"/>
  </sheetData>
  <sheetProtection algorithmName="SHA-512" hashValue="Hk1AnW4IBUVbayVAgU41MuYW9sjc5h3cNtniJL7yNLHkefnJLebOHrJTXxizPb5nrmm5hqn5j8Ot+if8eYaPPg==" saltValue="2JDcZBMM5gPYXolERqk/OA==" spinCount="100000" sheet="1" objects="1" scenarios="1"/>
  <customSheetViews>
    <customSheetView guid="{6EFC19BA-DD6E-47CD-9957-A134841DA95E}" showGridLines="0">
      <selection activeCell="B7" sqref="B7"/>
      <pageMargins left="0.7" right="0.7" top="0.75" bottom="0.75" header="0.3" footer="0.3"/>
      <pageSetup paperSize="9" orientation="portrait" r:id="rId1"/>
    </customSheetView>
  </customSheetView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N58"/>
  <sheetViews>
    <sheetView showGridLines="0" zoomScaleNormal="100" workbookViewId="0">
      <selection activeCell="D18" sqref="D18"/>
    </sheetView>
  </sheetViews>
  <sheetFormatPr defaultColWidth="9.140625" defaultRowHeight="14.25" x14ac:dyDescent="0.2"/>
  <cols>
    <col min="1" max="1" width="16.42578125" style="186" customWidth="1"/>
    <col min="2" max="2" width="67.7109375" style="186" customWidth="1"/>
    <col min="3" max="3" width="15.7109375" style="186" customWidth="1"/>
    <col min="4" max="4" width="61.140625" style="186" customWidth="1"/>
    <col min="5" max="5" width="15" style="186" customWidth="1"/>
    <col min="6" max="6" width="11.7109375" style="186" customWidth="1"/>
    <col min="7" max="14" width="9.5703125" style="186" bestFit="1" customWidth="1"/>
    <col min="15" max="16384" width="9.140625" style="186"/>
  </cols>
  <sheetData>
    <row r="1" spans="1:6" s="136" customFormat="1" ht="30" x14ac:dyDescent="0.4">
      <c r="A1" s="135" t="str">
        <f>'Contents and instructions'!A1</f>
        <v>BEIS Offshore Wind Programme</v>
      </c>
    </row>
    <row r="2" spans="1:6" s="136" customFormat="1" ht="30" x14ac:dyDescent="0.4">
      <c r="A2" s="135" t="str">
        <f>'Contents and instructions'!A2</f>
        <v>Innovation Impact on Levelised Cost of Energy Model</v>
      </c>
    </row>
    <row r="3" spans="1:6" s="136" customFormat="1" x14ac:dyDescent="0.2">
      <c r="A3" s="362" t="str">
        <f>'Contents and instructions'!A3</f>
        <v>Revision 4</v>
      </c>
    </row>
    <row r="4" spans="1:6" s="136" customFormat="1" x14ac:dyDescent="0.2">
      <c r="A4" s="363">
        <f>'Contents and instructions'!A4</f>
        <v>44286</v>
      </c>
    </row>
    <row r="5" spans="1:6" s="136" customFormat="1" ht="18" customHeight="1" x14ac:dyDescent="0.2"/>
    <row r="6" spans="1:6" s="136" customFormat="1" ht="18" customHeight="1" x14ac:dyDescent="0.2">
      <c r="B6" s="220" t="s">
        <v>140</v>
      </c>
    </row>
    <row r="7" spans="1:6" s="136" customFormat="1" ht="9" customHeight="1" x14ac:dyDescent="0.2">
      <c r="B7" s="217"/>
    </row>
    <row r="8" spans="1:6" s="136" customFormat="1" ht="18" customHeight="1" x14ac:dyDescent="0.2">
      <c r="B8" s="382" t="s">
        <v>122</v>
      </c>
      <c r="C8" s="382" t="s">
        <v>123</v>
      </c>
      <c r="D8" s="382" t="s">
        <v>126</v>
      </c>
    </row>
    <row r="9" spans="1:6" s="136" customFormat="1" ht="14.1" customHeight="1" x14ac:dyDescent="0.2">
      <c r="B9" s="219" t="s">
        <v>124</v>
      </c>
      <c r="C9" s="225" t="str" cm="1">
        <f t="array" ref="C9">IF((SUMPRODUCT(--(D13:D17&lt;&gt;""))&lt;5), "No", "Yes")</f>
        <v>No</v>
      </c>
      <c r="D9" s="224" t="s">
        <v>130</v>
      </c>
    </row>
    <row r="10" spans="1:6" s="136" customFormat="1" ht="18" customHeight="1" x14ac:dyDescent="0.2">
      <c r="C10" s="229" t="str">
        <f>IF(COUNTIF(C9:C9,"&lt;&gt;Yes")=0=FALSE,"Sheet not completed", "Sheet completed")</f>
        <v>Sheet not completed</v>
      </c>
    </row>
    <row r="11" spans="1:6" s="179" customFormat="1" ht="29.1" customHeight="1" x14ac:dyDescent="0.2">
      <c r="A11" s="187"/>
    </row>
    <row r="12" spans="1:6" s="179" customFormat="1" ht="12.75" x14ac:dyDescent="0.2">
      <c r="A12" s="187"/>
      <c r="B12" s="188" t="s">
        <v>99</v>
      </c>
      <c r="C12" s="188" t="s">
        <v>100</v>
      </c>
      <c r="D12" s="189" t="s">
        <v>101</v>
      </c>
    </row>
    <row r="13" spans="1:6" s="190" customFormat="1" ht="12.75" x14ac:dyDescent="0.2">
      <c r="B13" s="222" t="s">
        <v>102</v>
      </c>
      <c r="C13" s="191" t="s">
        <v>103</v>
      </c>
      <c r="D13" s="216"/>
      <c r="E13" s="179"/>
      <c r="F13" s="179"/>
    </row>
    <row r="14" spans="1:6" s="190" customFormat="1" ht="12.75" x14ac:dyDescent="0.2">
      <c r="B14" s="222" t="s">
        <v>104</v>
      </c>
      <c r="C14" s="191" t="s">
        <v>103</v>
      </c>
      <c r="D14" s="216"/>
      <c r="E14" s="179"/>
      <c r="F14" s="179"/>
    </row>
    <row r="15" spans="1:6" s="190" customFormat="1" ht="38.25" x14ac:dyDescent="0.2">
      <c r="B15" s="224" t="s">
        <v>268</v>
      </c>
      <c r="C15" s="191" t="s">
        <v>103</v>
      </c>
      <c r="D15" s="216"/>
      <c r="E15" s="179"/>
      <c r="F15" s="179"/>
    </row>
    <row r="16" spans="1:6" s="190" customFormat="1" ht="38.25" x14ac:dyDescent="0.2">
      <c r="B16" s="222" t="s">
        <v>105</v>
      </c>
      <c r="C16" s="191" t="s">
        <v>103</v>
      </c>
      <c r="D16" s="216"/>
      <c r="E16" s="179"/>
      <c r="F16" s="179"/>
    </row>
    <row r="17" spans="1:9" s="153" customFormat="1" ht="12.75" x14ac:dyDescent="0.2">
      <c r="B17" s="222" t="s">
        <v>299</v>
      </c>
      <c r="C17" s="191" t="s">
        <v>103</v>
      </c>
      <c r="D17" s="216"/>
      <c r="E17" s="179"/>
      <c r="F17" s="179"/>
      <c r="G17" s="190"/>
      <c r="H17" s="190"/>
      <c r="I17" s="190"/>
    </row>
    <row r="18" spans="1:9" s="153" customFormat="1" ht="38.25" x14ac:dyDescent="0.2">
      <c r="B18" s="222" t="s">
        <v>106</v>
      </c>
      <c r="C18" s="191" t="s">
        <v>103</v>
      </c>
      <c r="D18" s="216"/>
      <c r="E18" s="179"/>
      <c r="F18" s="179"/>
      <c r="G18" s="190"/>
      <c r="H18" s="190"/>
      <c r="I18" s="190"/>
    </row>
    <row r="19" spans="1:9" s="153" customFormat="1" ht="12.75" x14ac:dyDescent="0.2">
      <c r="B19" s="192"/>
      <c r="C19" s="193"/>
      <c r="D19" s="193"/>
      <c r="E19" s="179"/>
      <c r="F19" s="179"/>
    </row>
    <row r="20" spans="1:9" s="190" customFormat="1" ht="12.75" x14ac:dyDescent="0.2">
      <c r="E20" s="179"/>
      <c r="F20" s="179"/>
    </row>
    <row r="21" spans="1:9" s="153" customFormat="1" ht="12.75" x14ac:dyDescent="0.2">
      <c r="B21" s="231" t="s">
        <v>204</v>
      </c>
      <c r="C21" s="230" t="s">
        <v>150</v>
      </c>
      <c r="D21" s="221">
        <f>Calculator!K35</f>
        <v>0</v>
      </c>
      <c r="E21" s="179"/>
    </row>
    <row r="22" spans="1:9" s="153" customFormat="1" ht="12.75" customHeight="1" x14ac:dyDescent="0.2">
      <c r="B22" s="236" t="s">
        <v>205</v>
      </c>
      <c r="C22" s="229"/>
      <c r="D22" s="229"/>
      <c r="E22" s="179"/>
      <c r="F22" s="179"/>
    </row>
    <row r="23" spans="1:9" x14ac:dyDescent="0.2">
      <c r="C23" s="136"/>
      <c r="D23" s="136"/>
      <c r="E23" s="136"/>
      <c r="F23" s="136"/>
    </row>
    <row r="24" spans="1:9" x14ac:dyDescent="0.2">
      <c r="C24" s="136"/>
      <c r="D24" s="136"/>
      <c r="E24" s="136"/>
      <c r="F24" s="136"/>
    </row>
    <row r="25" spans="1:9" x14ac:dyDescent="0.2">
      <c r="B25" s="136"/>
      <c r="C25" s="136"/>
      <c r="D25" s="136"/>
      <c r="E25" s="136"/>
      <c r="F25" s="136"/>
    </row>
    <row r="26" spans="1:9" s="194" customFormat="1" ht="15" x14ac:dyDescent="0.25">
      <c r="A26" s="186"/>
      <c r="B26" s="136"/>
      <c r="C26" s="136"/>
      <c r="D26" s="136"/>
      <c r="E26" s="136"/>
      <c r="F26" s="136"/>
    </row>
    <row r="27" spans="1:9" s="194" customFormat="1" ht="15" x14ac:dyDescent="0.25">
      <c r="B27" s="136"/>
      <c r="C27" s="136"/>
      <c r="D27" s="136"/>
      <c r="E27" s="136"/>
      <c r="F27" s="136"/>
    </row>
    <row r="28" spans="1:9" s="194" customFormat="1" ht="15" x14ac:dyDescent="0.25">
      <c r="B28" s="136"/>
      <c r="C28" s="136"/>
      <c r="D28" s="136"/>
      <c r="E28" s="136"/>
      <c r="F28" s="136"/>
    </row>
    <row r="29" spans="1:9" x14ac:dyDescent="0.2">
      <c r="B29" s="136"/>
      <c r="C29" s="136"/>
      <c r="D29" s="136"/>
      <c r="E29" s="136"/>
      <c r="F29" s="136"/>
    </row>
    <row r="30" spans="1:9" x14ac:dyDescent="0.2">
      <c r="B30" s="136"/>
      <c r="C30" s="136"/>
      <c r="D30" s="136"/>
      <c r="E30" s="136"/>
      <c r="F30" s="136"/>
    </row>
    <row r="31" spans="1:9" x14ac:dyDescent="0.2">
      <c r="B31" s="136"/>
      <c r="C31" s="136"/>
      <c r="D31" s="136"/>
      <c r="E31" s="136"/>
      <c r="F31" s="136"/>
    </row>
    <row r="32" spans="1:9" s="194" customFormat="1" ht="15" x14ac:dyDescent="0.25">
      <c r="B32" s="136"/>
      <c r="C32" s="136"/>
      <c r="D32" s="136"/>
      <c r="E32" s="136"/>
      <c r="F32" s="136"/>
    </row>
    <row r="33" spans="2:14" s="194" customFormat="1" ht="15" x14ac:dyDescent="0.25">
      <c r="B33" s="136"/>
      <c r="C33" s="136"/>
      <c r="D33" s="136"/>
      <c r="E33" s="136"/>
      <c r="F33" s="136"/>
      <c r="G33" s="195"/>
      <c r="H33" s="195"/>
      <c r="I33" s="195"/>
      <c r="J33" s="195"/>
      <c r="K33" s="195"/>
      <c r="L33" s="195"/>
      <c r="M33" s="195"/>
      <c r="N33" s="195"/>
    </row>
    <row r="34" spans="2:14" s="194" customFormat="1" ht="15" x14ac:dyDescent="0.25">
      <c r="B34" s="136"/>
      <c r="C34" s="136"/>
      <c r="D34" s="136"/>
      <c r="E34" s="136"/>
      <c r="F34" s="136"/>
    </row>
    <row r="35" spans="2:14" s="194" customFormat="1" ht="15" x14ac:dyDescent="0.25">
      <c r="B35" s="136"/>
      <c r="C35" s="136"/>
      <c r="D35" s="136"/>
      <c r="E35" s="136"/>
      <c r="F35" s="136"/>
    </row>
    <row r="36" spans="2:14" x14ac:dyDescent="0.2">
      <c r="B36" s="136"/>
      <c r="C36" s="136"/>
      <c r="D36" s="136"/>
      <c r="E36" s="136"/>
      <c r="F36" s="136"/>
    </row>
    <row r="37" spans="2:14" x14ac:dyDescent="0.2">
      <c r="B37" s="136"/>
      <c r="C37" s="136"/>
      <c r="D37" s="136"/>
      <c r="E37" s="136"/>
      <c r="F37" s="136"/>
    </row>
    <row r="38" spans="2:14" x14ac:dyDescent="0.2">
      <c r="B38" s="136"/>
      <c r="C38" s="136"/>
      <c r="D38" s="136"/>
      <c r="E38" s="136"/>
      <c r="F38" s="136"/>
    </row>
    <row r="39" spans="2:14" x14ac:dyDescent="0.2">
      <c r="B39" s="136"/>
      <c r="C39" s="136"/>
      <c r="D39" s="136"/>
      <c r="E39" s="136"/>
      <c r="F39" s="136"/>
    </row>
    <row r="40" spans="2:14" x14ac:dyDescent="0.2">
      <c r="B40" s="136"/>
      <c r="C40" s="136"/>
      <c r="D40" s="136"/>
      <c r="E40" s="136"/>
      <c r="F40" s="136"/>
    </row>
    <row r="41" spans="2:14" x14ac:dyDescent="0.2">
      <c r="B41" s="136"/>
      <c r="C41" s="136"/>
      <c r="D41" s="136"/>
      <c r="E41" s="136"/>
      <c r="F41" s="136"/>
    </row>
    <row r="42" spans="2:14" s="194" customFormat="1" ht="15" x14ac:dyDescent="0.25">
      <c r="B42" s="136"/>
      <c r="C42" s="136"/>
      <c r="D42" s="136"/>
      <c r="E42" s="136"/>
      <c r="F42" s="136"/>
    </row>
    <row r="43" spans="2:14" s="194" customFormat="1" ht="15" x14ac:dyDescent="0.25">
      <c r="B43" s="136"/>
      <c r="C43" s="136"/>
      <c r="D43" s="136"/>
      <c r="E43" s="136"/>
      <c r="F43" s="136"/>
    </row>
    <row r="44" spans="2:14" s="194" customFormat="1" ht="15" x14ac:dyDescent="0.25">
      <c r="B44" s="136"/>
      <c r="C44" s="136"/>
      <c r="D44" s="136"/>
      <c r="E44" s="136"/>
      <c r="F44" s="136"/>
    </row>
    <row r="45" spans="2:14" s="194" customFormat="1" ht="15" x14ac:dyDescent="0.25">
      <c r="B45" s="136"/>
      <c r="C45" s="136"/>
      <c r="D45" s="136"/>
      <c r="E45" s="136"/>
      <c r="F45" s="136"/>
    </row>
    <row r="46" spans="2:14" s="194" customFormat="1" ht="15" x14ac:dyDescent="0.25">
      <c r="B46" s="136"/>
      <c r="C46" s="136"/>
      <c r="D46" s="136"/>
      <c r="E46" s="136"/>
      <c r="F46" s="136"/>
      <c r="G46" s="195"/>
      <c r="H46" s="195"/>
      <c r="I46" s="195"/>
      <c r="J46" s="195"/>
      <c r="K46" s="195"/>
      <c r="L46" s="195"/>
      <c r="M46" s="195"/>
      <c r="N46" s="195"/>
    </row>
    <row r="47" spans="2:14" s="194" customFormat="1" ht="15" x14ac:dyDescent="0.25">
      <c r="B47" s="136"/>
      <c r="C47" s="136"/>
      <c r="D47" s="136"/>
      <c r="E47" s="136"/>
      <c r="F47" s="136"/>
      <c r="G47" s="195"/>
      <c r="H47" s="195"/>
      <c r="I47" s="195"/>
      <c r="J47" s="195"/>
      <c r="K47" s="195"/>
      <c r="L47" s="195"/>
      <c r="M47" s="195"/>
      <c r="N47" s="195"/>
    </row>
    <row r="48" spans="2:14" s="194" customFormat="1" ht="15" x14ac:dyDescent="0.25">
      <c r="B48" s="136"/>
      <c r="C48" s="136"/>
      <c r="D48" s="136"/>
      <c r="E48" s="136"/>
      <c r="F48" s="136"/>
      <c r="G48" s="195"/>
      <c r="H48" s="195"/>
      <c r="I48" s="195"/>
      <c r="J48" s="195"/>
      <c r="K48" s="195"/>
      <c r="L48" s="195"/>
      <c r="M48" s="195"/>
      <c r="N48" s="195"/>
    </row>
    <row r="49" spans="2:14" s="197" customFormat="1" ht="15" x14ac:dyDescent="0.25">
      <c r="B49" s="136"/>
      <c r="C49" s="136"/>
      <c r="D49" s="136"/>
      <c r="E49" s="136"/>
      <c r="F49" s="136"/>
      <c r="G49" s="196"/>
      <c r="H49" s="196"/>
      <c r="I49" s="196"/>
      <c r="J49" s="196"/>
      <c r="K49" s="196"/>
      <c r="L49" s="196"/>
      <c r="M49" s="196"/>
      <c r="N49" s="196"/>
    </row>
    <row r="50" spans="2:14" s="194" customFormat="1" ht="15" x14ac:dyDescent="0.25">
      <c r="B50" s="136"/>
      <c r="C50" s="136"/>
      <c r="D50" s="136"/>
      <c r="E50" s="136"/>
      <c r="F50" s="136"/>
      <c r="G50" s="195"/>
      <c r="H50" s="195"/>
      <c r="I50" s="195"/>
      <c r="J50" s="195"/>
      <c r="K50" s="195"/>
      <c r="L50" s="195"/>
      <c r="M50" s="195"/>
      <c r="N50" s="195"/>
    </row>
    <row r="51" spans="2:14" x14ac:dyDescent="0.2">
      <c r="B51" s="136"/>
      <c r="C51" s="136"/>
      <c r="D51" s="136"/>
      <c r="E51" s="136"/>
      <c r="F51" s="136"/>
    </row>
    <row r="52" spans="2:14" x14ac:dyDescent="0.2">
      <c r="B52" s="136"/>
      <c r="C52" s="136"/>
      <c r="D52" s="136"/>
      <c r="E52" s="136"/>
      <c r="F52" s="136"/>
    </row>
    <row r="53" spans="2:14" x14ac:dyDescent="0.2">
      <c r="B53" s="136"/>
      <c r="C53" s="136"/>
      <c r="D53" s="136"/>
      <c r="E53" s="136"/>
      <c r="F53" s="136"/>
    </row>
    <row r="54" spans="2:14" x14ac:dyDescent="0.2">
      <c r="B54" s="136"/>
      <c r="C54" s="136"/>
      <c r="D54" s="136"/>
      <c r="E54" s="136"/>
      <c r="F54" s="136"/>
    </row>
    <row r="55" spans="2:14" x14ac:dyDescent="0.2">
      <c r="B55" s="136"/>
      <c r="C55" s="136"/>
      <c r="D55" s="136"/>
      <c r="E55" s="136"/>
      <c r="F55" s="136"/>
    </row>
    <row r="56" spans="2:14" x14ac:dyDescent="0.2">
      <c r="B56" s="136"/>
      <c r="C56" s="136"/>
      <c r="D56" s="136"/>
      <c r="E56" s="136"/>
      <c r="F56" s="136"/>
    </row>
    <row r="57" spans="2:14" x14ac:dyDescent="0.2">
      <c r="B57" s="136"/>
      <c r="C57" s="136"/>
      <c r="D57" s="136"/>
      <c r="E57" s="136"/>
      <c r="F57" s="136"/>
    </row>
    <row r="58" spans="2:14" x14ac:dyDescent="0.2">
      <c r="B58" s="136"/>
      <c r="C58" s="136"/>
      <c r="D58" s="136"/>
      <c r="E58" s="136"/>
      <c r="F58" s="136"/>
    </row>
  </sheetData>
  <sheetProtection algorithmName="SHA-512" hashValue="LVmO1l3YZWMGYFrqUTzlxnxfKV4QKYViJAXB9zV5sK5POJr8Ku7aJO+5oQlwyMNXJWzJnLB1cZGdN6sCNj3dyQ==" saltValue="uY7ByeLrH1c01/5QR+bSUw==" spinCount="100000" sheet="1" selectLockedCells="1"/>
  <conditionalFormatting sqref="C9">
    <cfRule type="containsText" dxfId="18" priority="2" operator="containsText" text="Yes">
      <formula>NOT(ISERROR(SEARCH("Yes",C9)))</formula>
    </cfRule>
    <cfRule type="containsText" dxfId="17" priority="3" operator="containsText" text="No">
      <formula>NOT(ISERROR(SEARCH("No",C9)))</formula>
    </cfRule>
  </conditionalFormatting>
  <conditionalFormatting sqref="C10">
    <cfRule type="cellIs" dxfId="16" priority="1" operator="equal">
      <formula>"Sheet not completed"</formula>
    </cfRule>
  </conditionalFormatting>
  <pageMargins left="0.70866141732283472" right="0.70866141732283472" top="0.74803149606299213" bottom="0.74803149606299213" header="0.31496062992125984" footer="0.31496062992125984"/>
  <pageSetup paperSize="9"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K127"/>
  <sheetViews>
    <sheetView showGridLines="0" zoomScaleNormal="100" workbookViewId="0"/>
  </sheetViews>
  <sheetFormatPr defaultColWidth="9.140625" defaultRowHeight="12.75" x14ac:dyDescent="0.2"/>
  <cols>
    <col min="1" max="1" width="16" style="179" customWidth="1"/>
    <col min="2" max="2" width="34.85546875" style="179" customWidth="1"/>
    <col min="3" max="3" width="61.5703125" style="179" customWidth="1"/>
    <col min="4" max="4" width="68.5703125" style="179" customWidth="1"/>
    <col min="5" max="16384" width="9.140625" style="179"/>
  </cols>
  <sheetData>
    <row r="1" spans="1:4" s="136" customFormat="1" ht="30" x14ac:dyDescent="0.4">
      <c r="A1" s="201" t="s">
        <v>112</v>
      </c>
      <c r="B1" s="202"/>
      <c r="C1" s="202"/>
      <c r="D1" s="202"/>
    </row>
    <row r="2" spans="1:4" s="136" customFormat="1" ht="30" x14ac:dyDescent="0.4">
      <c r="A2" s="201" t="s">
        <v>191</v>
      </c>
      <c r="B2" s="202"/>
      <c r="C2" s="202"/>
      <c r="D2" s="202"/>
    </row>
    <row r="3" spans="1:4" s="136" customFormat="1" ht="14.25" x14ac:dyDescent="0.2">
      <c r="A3" s="362" t="s">
        <v>110</v>
      </c>
      <c r="B3" s="202"/>
      <c r="C3" s="202"/>
      <c r="D3" s="202"/>
    </row>
    <row r="4" spans="1:4" s="136" customFormat="1" ht="14.25" x14ac:dyDescent="0.2">
      <c r="A4" s="363">
        <f>About!H7</f>
        <v>44286</v>
      </c>
      <c r="B4" s="202"/>
      <c r="C4" s="202"/>
      <c r="D4" s="202"/>
    </row>
    <row r="7" spans="1:4" ht="15.75" customHeight="1" x14ac:dyDescent="0.2"/>
    <row r="8" spans="1:4" ht="15.75" customHeight="1" x14ac:dyDescent="0.2">
      <c r="B8" s="254" t="s">
        <v>280</v>
      </c>
    </row>
    <row r="9" spans="1:4" ht="15.75" customHeight="1" x14ac:dyDescent="0.2">
      <c r="B9" s="254"/>
    </row>
    <row r="10" spans="1:4" ht="15.75" customHeight="1" x14ac:dyDescent="0.2">
      <c r="B10" s="352" t="s">
        <v>293</v>
      </c>
      <c r="C10" s="351"/>
    </row>
    <row r="11" spans="1:4" ht="15.75" customHeight="1" x14ac:dyDescent="0.2">
      <c r="B11" s="147" t="s">
        <v>302</v>
      </c>
    </row>
    <row r="12" spans="1:4" ht="15.75" customHeight="1" x14ac:dyDescent="0.2">
      <c r="B12" s="147" t="s">
        <v>301</v>
      </c>
    </row>
    <row r="13" spans="1:4" ht="42.75" customHeight="1" x14ac:dyDescent="0.2">
      <c r="B13" s="430" t="s">
        <v>294</v>
      </c>
      <c r="C13" s="431"/>
      <c r="D13" s="431"/>
    </row>
    <row r="14" spans="1:4" ht="15.75" customHeight="1" thickBot="1" x14ac:dyDescent="0.25">
      <c r="B14" s="147"/>
    </row>
    <row r="15" spans="1:4" ht="15.75" customHeight="1" x14ac:dyDescent="0.2">
      <c r="B15" s="255" t="s">
        <v>206</v>
      </c>
      <c r="C15" s="256" t="s">
        <v>287</v>
      </c>
      <c r="D15" s="257" t="s">
        <v>288</v>
      </c>
    </row>
    <row r="16" spans="1:4" ht="15.75" customHeight="1" x14ac:dyDescent="0.2">
      <c r="B16" s="353" t="s">
        <v>300</v>
      </c>
      <c r="C16" s="350" t="s">
        <v>281</v>
      </c>
      <c r="D16" s="354" t="s">
        <v>289</v>
      </c>
    </row>
    <row r="17" spans="2:4" ht="15.75" customHeight="1" x14ac:dyDescent="0.2">
      <c r="B17" s="353" t="s">
        <v>282</v>
      </c>
      <c r="C17" s="350" t="s">
        <v>283</v>
      </c>
      <c r="D17" s="354" t="s">
        <v>290</v>
      </c>
    </row>
    <row r="18" spans="2:4" ht="15.75" customHeight="1" x14ac:dyDescent="0.2">
      <c r="B18" s="353" t="s">
        <v>284</v>
      </c>
      <c r="C18" s="350" t="s">
        <v>285</v>
      </c>
      <c r="D18" s="354" t="s">
        <v>286</v>
      </c>
    </row>
    <row r="19" spans="2:4" ht="15.75" customHeight="1" thickBot="1" x14ac:dyDescent="0.25">
      <c r="B19" s="355" t="s">
        <v>157</v>
      </c>
      <c r="C19" s="356" t="s">
        <v>291</v>
      </c>
      <c r="D19" s="272" t="s">
        <v>292</v>
      </c>
    </row>
    <row r="20" spans="2:4" ht="15.75" customHeight="1" x14ac:dyDescent="0.2"/>
    <row r="21" spans="2:4" ht="15.75" customHeight="1" x14ac:dyDescent="0.2"/>
    <row r="22" spans="2:4" ht="15.75" customHeight="1" x14ac:dyDescent="0.2"/>
    <row r="23" spans="2:4" ht="15.75" customHeight="1" x14ac:dyDescent="0.2">
      <c r="B23" s="254" t="s">
        <v>159</v>
      </c>
    </row>
    <row r="24" spans="2:4" ht="15.75" customHeight="1" thickBot="1" x14ac:dyDescent="0.25">
      <c r="D24" s="364"/>
    </row>
    <row r="25" spans="2:4" x14ac:dyDescent="0.2">
      <c r="B25" s="255" t="s">
        <v>65</v>
      </c>
      <c r="C25" s="256" t="s">
        <v>88</v>
      </c>
      <c r="D25" s="257" t="s">
        <v>92</v>
      </c>
    </row>
    <row r="26" spans="2:4" ht="38.25" x14ac:dyDescent="0.2">
      <c r="B26" s="314" t="s">
        <v>216</v>
      </c>
      <c r="C26" s="258" t="s">
        <v>254</v>
      </c>
      <c r="D26" s="264" t="s">
        <v>255</v>
      </c>
    </row>
    <row r="27" spans="2:4" x14ac:dyDescent="0.2">
      <c r="B27" s="421" t="s">
        <v>20</v>
      </c>
      <c r="C27" s="422"/>
      <c r="D27" s="423"/>
    </row>
    <row r="28" spans="2:4" ht="51" x14ac:dyDescent="0.2">
      <c r="B28" s="325" t="s">
        <v>259</v>
      </c>
      <c r="C28" s="258" t="s">
        <v>142</v>
      </c>
      <c r="D28" s="259"/>
    </row>
    <row r="29" spans="2:4" ht="51" x14ac:dyDescent="0.2">
      <c r="B29" s="325" t="s">
        <v>260</v>
      </c>
      <c r="C29" s="258" t="s">
        <v>89</v>
      </c>
      <c r="D29" s="259"/>
    </row>
    <row r="30" spans="2:4" x14ac:dyDescent="0.2">
      <c r="B30" s="260" t="s">
        <v>25</v>
      </c>
      <c r="C30" s="261" t="s">
        <v>96</v>
      </c>
      <c r="D30" s="259"/>
    </row>
    <row r="31" spans="2:4" ht="63.75" x14ac:dyDescent="0.2">
      <c r="B31" s="326" t="s">
        <v>258</v>
      </c>
      <c r="C31" s="328" t="s">
        <v>261</v>
      </c>
      <c r="D31" s="346" t="s">
        <v>256</v>
      </c>
    </row>
    <row r="32" spans="2:4" x14ac:dyDescent="0.2">
      <c r="B32" s="260" t="s">
        <v>69</v>
      </c>
      <c r="C32" s="258" t="s">
        <v>120</v>
      </c>
      <c r="D32" s="262"/>
    </row>
    <row r="33" spans="2:11" ht="51" x14ac:dyDescent="0.2">
      <c r="B33" s="260" t="s">
        <v>119</v>
      </c>
      <c r="C33" s="258" t="s">
        <v>149</v>
      </c>
      <c r="D33" s="346" t="s">
        <v>257</v>
      </c>
    </row>
    <row r="34" spans="2:11" ht="25.5" x14ac:dyDescent="0.2">
      <c r="B34" s="260" t="s">
        <v>16</v>
      </c>
      <c r="C34" s="263" t="s">
        <v>97</v>
      </c>
      <c r="D34" s="262"/>
    </row>
    <row r="35" spans="2:11" ht="63.75" x14ac:dyDescent="0.2">
      <c r="B35" s="260" t="s">
        <v>17</v>
      </c>
      <c r="C35" s="323" t="s">
        <v>247</v>
      </c>
      <c r="D35" s="347" t="s">
        <v>231</v>
      </c>
    </row>
    <row r="36" spans="2:11" ht="25.5" x14ac:dyDescent="0.2">
      <c r="B36" s="326" t="s">
        <v>250</v>
      </c>
      <c r="C36" s="263" t="s">
        <v>297</v>
      </c>
      <c r="D36" s="264"/>
    </row>
    <row r="37" spans="2:11" x14ac:dyDescent="0.2">
      <c r="B37" s="265" t="s">
        <v>53</v>
      </c>
      <c r="C37" s="263" t="s">
        <v>225</v>
      </c>
      <c r="D37" s="264"/>
    </row>
    <row r="38" spans="2:11" ht="51" x14ac:dyDescent="0.2">
      <c r="B38" s="266" t="s">
        <v>90</v>
      </c>
      <c r="C38" s="258" t="s">
        <v>141</v>
      </c>
      <c r="D38" s="264"/>
    </row>
    <row r="39" spans="2:11" x14ac:dyDescent="0.2">
      <c r="B39" s="421" t="s">
        <v>21</v>
      </c>
      <c r="C39" s="422"/>
      <c r="D39" s="423"/>
    </row>
    <row r="40" spans="2:11" ht="63.75" x14ac:dyDescent="0.2">
      <c r="B40" s="267" t="s">
        <v>121</v>
      </c>
      <c r="C40" s="268" t="s">
        <v>227</v>
      </c>
      <c r="D40" s="348" t="s">
        <v>262</v>
      </c>
    </row>
    <row r="41" spans="2:11" ht="51" x14ac:dyDescent="0.2">
      <c r="B41" s="260" t="s">
        <v>26</v>
      </c>
      <c r="C41" s="269" t="s">
        <v>91</v>
      </c>
      <c r="D41" s="264"/>
    </row>
    <row r="42" spans="2:11" x14ac:dyDescent="0.2">
      <c r="B42" s="260" t="s">
        <v>18</v>
      </c>
      <c r="C42" s="258" t="s">
        <v>218</v>
      </c>
      <c r="D42" s="264"/>
    </row>
    <row r="43" spans="2:11" x14ac:dyDescent="0.2">
      <c r="B43" s="424" t="s">
        <v>263</v>
      </c>
      <c r="C43" s="425"/>
      <c r="D43" s="426"/>
    </row>
    <row r="44" spans="2:11" s="279" customFormat="1" ht="51" x14ac:dyDescent="0.2">
      <c r="B44" s="325" t="s">
        <v>248</v>
      </c>
      <c r="C44" s="263" t="s">
        <v>84</v>
      </c>
      <c r="D44" s="310"/>
    </row>
    <row r="45" spans="2:11" s="279" customFormat="1" ht="25.5" x14ac:dyDescent="0.2">
      <c r="B45" s="324" t="s">
        <v>249</v>
      </c>
      <c r="C45" s="323" t="s">
        <v>264</v>
      </c>
      <c r="D45" s="310"/>
    </row>
    <row r="46" spans="2:11" s="279" customFormat="1" ht="82.15" customHeight="1" x14ac:dyDescent="0.2">
      <c r="B46" s="265" t="s">
        <v>27</v>
      </c>
      <c r="C46" s="263" t="s">
        <v>269</v>
      </c>
      <c r="D46" s="270"/>
      <c r="K46" s="305"/>
    </row>
    <row r="47" spans="2:11" s="279" customFormat="1" ht="38.25" x14ac:dyDescent="0.2">
      <c r="B47" s="265" t="s">
        <v>50</v>
      </c>
      <c r="C47" s="263" t="s">
        <v>251</v>
      </c>
      <c r="D47" s="270"/>
      <c r="K47" s="305"/>
    </row>
    <row r="48" spans="2:11" s="279" customFormat="1" ht="38.25" x14ac:dyDescent="0.2">
      <c r="B48" s="265" t="s">
        <v>51</v>
      </c>
      <c r="C48" s="263" t="s">
        <v>252</v>
      </c>
      <c r="D48" s="270"/>
      <c r="K48" s="305"/>
    </row>
    <row r="49" spans="1:11" s="279" customFormat="1" ht="38.25" x14ac:dyDescent="0.2">
      <c r="B49" s="265" t="s">
        <v>115</v>
      </c>
      <c r="C49" s="263" t="s">
        <v>253</v>
      </c>
      <c r="D49" s="270"/>
      <c r="K49" s="305"/>
    </row>
    <row r="50" spans="1:11" s="279" customFormat="1" ht="51" x14ac:dyDescent="0.2">
      <c r="B50" s="265" t="s">
        <v>52</v>
      </c>
      <c r="C50" s="263" t="s">
        <v>232</v>
      </c>
      <c r="D50" s="270"/>
      <c r="K50" s="305"/>
    </row>
    <row r="51" spans="1:11" s="279" customFormat="1" ht="38.25" x14ac:dyDescent="0.2">
      <c r="B51" s="265" t="s">
        <v>234</v>
      </c>
      <c r="C51" s="263" t="s">
        <v>233</v>
      </c>
      <c r="D51" s="310"/>
      <c r="F51" s="179"/>
      <c r="G51" s="179"/>
      <c r="K51" s="305"/>
    </row>
    <row r="52" spans="1:11" x14ac:dyDescent="0.2">
      <c r="B52" s="427" t="s">
        <v>67</v>
      </c>
      <c r="C52" s="428"/>
      <c r="D52" s="429"/>
      <c r="E52" s="279"/>
      <c r="H52" s="279"/>
    </row>
    <row r="53" spans="1:11" ht="25.5" x14ac:dyDescent="0.2">
      <c r="B53" s="327" t="s">
        <v>235</v>
      </c>
      <c r="C53" s="361" t="s">
        <v>237</v>
      </c>
      <c r="D53" s="264" t="s">
        <v>224</v>
      </c>
      <c r="E53" s="279"/>
      <c r="H53" s="279"/>
    </row>
    <row r="54" spans="1:11" ht="13.5" thickBot="1" x14ac:dyDescent="0.25">
      <c r="B54" s="349" t="s">
        <v>236</v>
      </c>
      <c r="C54" s="271" t="s">
        <v>202</v>
      </c>
      <c r="D54" s="272" t="s">
        <v>238</v>
      </c>
      <c r="E54" s="279"/>
      <c r="H54" s="279"/>
    </row>
    <row r="55" spans="1:11" x14ac:dyDescent="0.2">
      <c r="E55" s="279"/>
      <c r="H55" s="279"/>
    </row>
    <row r="56" spans="1:11" x14ac:dyDescent="0.2">
      <c r="E56" s="279"/>
      <c r="H56" s="279"/>
    </row>
    <row r="57" spans="1:11" x14ac:dyDescent="0.2">
      <c r="E57" s="279"/>
      <c r="H57" s="279"/>
    </row>
    <row r="58" spans="1:11" x14ac:dyDescent="0.2">
      <c r="B58" s="254" t="s">
        <v>158</v>
      </c>
    </row>
    <row r="60" spans="1:11" x14ac:dyDescent="0.2">
      <c r="B60" s="187" t="s">
        <v>151</v>
      </c>
    </row>
    <row r="61" spans="1:11" x14ac:dyDescent="0.2">
      <c r="B61" s="273" t="s">
        <v>219</v>
      </c>
    </row>
    <row r="62" spans="1:11" x14ac:dyDescent="0.2">
      <c r="B62" s="273" t="s">
        <v>220</v>
      </c>
    </row>
    <row r="63" spans="1:11" x14ac:dyDescent="0.2">
      <c r="B63" s="273" t="s">
        <v>228</v>
      </c>
    </row>
    <row r="64" spans="1:11" x14ac:dyDescent="0.2">
      <c r="A64" s="279"/>
      <c r="B64" s="306" t="s">
        <v>211</v>
      </c>
    </row>
    <row r="65" spans="2:2" x14ac:dyDescent="0.2">
      <c r="B65" s="273"/>
    </row>
    <row r="66" spans="2:2" x14ac:dyDescent="0.2">
      <c r="B66" s="187" t="s">
        <v>152</v>
      </c>
    </row>
    <row r="67" spans="2:2" x14ac:dyDescent="0.2">
      <c r="B67" s="274" t="s">
        <v>153</v>
      </c>
    </row>
    <row r="68" spans="2:2" x14ac:dyDescent="0.2">
      <c r="B68" s="273" t="s">
        <v>226</v>
      </c>
    </row>
    <row r="69" spans="2:2" x14ac:dyDescent="0.2">
      <c r="B69" s="273" t="s">
        <v>164</v>
      </c>
    </row>
    <row r="70" spans="2:2" x14ac:dyDescent="0.2">
      <c r="B70" s="273" t="s">
        <v>165</v>
      </c>
    </row>
    <row r="71" spans="2:2" x14ac:dyDescent="0.2">
      <c r="B71" s="273" t="s">
        <v>166</v>
      </c>
    </row>
    <row r="72" spans="2:2" x14ac:dyDescent="0.2">
      <c r="B72" s="273" t="s">
        <v>167</v>
      </c>
    </row>
    <row r="73" spans="2:2" x14ac:dyDescent="0.2">
      <c r="B73" s="273" t="s">
        <v>168</v>
      </c>
    </row>
    <row r="74" spans="2:2" x14ac:dyDescent="0.2">
      <c r="B74" s="273"/>
    </row>
    <row r="75" spans="2:2" x14ac:dyDescent="0.2">
      <c r="B75" s="274" t="s">
        <v>154</v>
      </c>
    </row>
    <row r="76" spans="2:2" x14ac:dyDescent="0.2">
      <c r="B76" s="273" t="s">
        <v>169</v>
      </c>
    </row>
    <row r="77" spans="2:2" x14ac:dyDescent="0.2">
      <c r="B77" s="273" t="s">
        <v>170</v>
      </c>
    </row>
    <row r="78" spans="2:2" x14ac:dyDescent="0.2">
      <c r="B78" s="273" t="s">
        <v>171</v>
      </c>
    </row>
    <row r="79" spans="2:2" ht="14.25" x14ac:dyDescent="0.2">
      <c r="B79" s="273" t="s">
        <v>196</v>
      </c>
    </row>
    <row r="80" spans="2:2" x14ac:dyDescent="0.2">
      <c r="B80" s="273" t="s">
        <v>172</v>
      </c>
    </row>
    <row r="81" spans="2:4" x14ac:dyDescent="0.2">
      <c r="B81" s="273" t="s">
        <v>173</v>
      </c>
    </row>
    <row r="82" spans="2:4" x14ac:dyDescent="0.2">
      <c r="B82" s="273" t="s">
        <v>174</v>
      </c>
    </row>
    <row r="83" spans="2:4" x14ac:dyDescent="0.2">
      <c r="B83" s="273"/>
    </row>
    <row r="84" spans="2:4" x14ac:dyDescent="0.2">
      <c r="B84" s="274" t="s">
        <v>14</v>
      </c>
    </row>
    <row r="85" spans="2:4" x14ac:dyDescent="0.2">
      <c r="B85" s="273" t="s">
        <v>221</v>
      </c>
    </row>
    <row r="86" spans="2:4" x14ac:dyDescent="0.2">
      <c r="B86" s="306" t="s">
        <v>271</v>
      </c>
      <c r="C86" s="279"/>
      <c r="D86" s="279"/>
    </row>
    <row r="87" spans="2:4" x14ac:dyDescent="0.2">
      <c r="B87" s="273"/>
    </row>
    <row r="88" spans="2:4" x14ac:dyDescent="0.2">
      <c r="B88" s="274" t="s">
        <v>119</v>
      </c>
    </row>
    <row r="89" spans="2:4" x14ac:dyDescent="0.2">
      <c r="B89" s="273" t="s">
        <v>175</v>
      </c>
    </row>
    <row r="90" spans="2:4" x14ac:dyDescent="0.2">
      <c r="B90" s="273"/>
    </row>
    <row r="91" spans="2:4" x14ac:dyDescent="0.2">
      <c r="B91" s="274" t="s">
        <v>155</v>
      </c>
    </row>
    <row r="92" spans="2:4" x14ac:dyDescent="0.2">
      <c r="B92" s="273" t="s">
        <v>176</v>
      </c>
    </row>
    <row r="93" spans="2:4" x14ac:dyDescent="0.2">
      <c r="B93" s="273"/>
    </row>
    <row r="94" spans="2:4" x14ac:dyDescent="0.2">
      <c r="B94" s="274" t="s">
        <v>156</v>
      </c>
    </row>
    <row r="95" spans="2:4" x14ac:dyDescent="0.2">
      <c r="B95" s="273" t="s">
        <v>177</v>
      </c>
    </row>
    <row r="96" spans="2:4" x14ac:dyDescent="0.2">
      <c r="B96" s="306" t="s">
        <v>203</v>
      </c>
      <c r="C96" s="279"/>
    </row>
    <row r="98" spans="2:2" x14ac:dyDescent="0.2">
      <c r="B98" s="274" t="s">
        <v>114</v>
      </c>
    </row>
    <row r="99" spans="2:2" x14ac:dyDescent="0.2">
      <c r="B99" s="273" t="s">
        <v>178</v>
      </c>
    </row>
    <row r="100" spans="2:2" x14ac:dyDescent="0.2">
      <c r="B100" s="273" t="s">
        <v>179</v>
      </c>
    </row>
    <row r="101" spans="2:2" x14ac:dyDescent="0.2">
      <c r="B101" s="273" t="s">
        <v>180</v>
      </c>
    </row>
    <row r="102" spans="2:2" x14ac:dyDescent="0.2">
      <c r="B102" s="273" t="s">
        <v>181</v>
      </c>
    </row>
    <row r="103" spans="2:2" x14ac:dyDescent="0.2">
      <c r="B103" s="273" t="s">
        <v>182</v>
      </c>
    </row>
    <row r="104" spans="2:2" x14ac:dyDescent="0.2">
      <c r="B104" s="273" t="s">
        <v>183</v>
      </c>
    </row>
    <row r="105" spans="2:2" x14ac:dyDescent="0.2">
      <c r="B105" s="273"/>
    </row>
    <row r="106" spans="2:2" x14ac:dyDescent="0.2">
      <c r="B106" s="274" t="s">
        <v>157</v>
      </c>
    </row>
    <row r="107" spans="2:2" x14ac:dyDescent="0.2">
      <c r="B107" s="273" t="s">
        <v>185</v>
      </c>
    </row>
    <row r="108" spans="2:2" x14ac:dyDescent="0.2">
      <c r="B108" s="273" t="s">
        <v>184</v>
      </c>
    </row>
    <row r="110" spans="2:2" x14ac:dyDescent="0.2">
      <c r="B110" s="317" t="s">
        <v>186</v>
      </c>
    </row>
    <row r="111" spans="2:2" x14ac:dyDescent="0.2">
      <c r="B111" s="274" t="s">
        <v>119</v>
      </c>
    </row>
    <row r="112" spans="2:2" x14ac:dyDescent="0.2">
      <c r="B112" s="179" t="s">
        <v>199</v>
      </c>
    </row>
    <row r="113" spans="1:3" x14ac:dyDescent="0.2">
      <c r="B113" s="274"/>
    </row>
    <row r="114" spans="1:3" x14ac:dyDescent="0.2">
      <c r="B114" s="275" t="s">
        <v>160</v>
      </c>
    </row>
    <row r="115" spans="1:3" x14ac:dyDescent="0.2">
      <c r="A115" s="279"/>
      <c r="B115" s="306" t="s">
        <v>200</v>
      </c>
      <c r="C115" s="279"/>
    </row>
    <row r="116" spans="1:3" x14ac:dyDescent="0.2">
      <c r="A116" s="279"/>
      <c r="B116" s="306" t="s">
        <v>222</v>
      </c>
      <c r="C116" s="279"/>
    </row>
    <row r="117" spans="1:3" x14ac:dyDescent="0.2">
      <c r="B117" s="273"/>
    </row>
    <row r="118" spans="1:3" x14ac:dyDescent="0.2">
      <c r="B118" s="275" t="s">
        <v>161</v>
      </c>
    </row>
    <row r="119" spans="1:3" x14ac:dyDescent="0.2">
      <c r="B119" s="344" t="s">
        <v>272</v>
      </c>
    </row>
    <row r="120" spans="1:3" x14ac:dyDescent="0.2">
      <c r="B120" s="273"/>
    </row>
    <row r="121" spans="1:3" x14ac:dyDescent="0.2">
      <c r="B121" s="275" t="s">
        <v>114</v>
      </c>
    </row>
    <row r="122" spans="1:3" x14ac:dyDescent="0.2">
      <c r="B122" s="273" t="s">
        <v>223</v>
      </c>
    </row>
    <row r="123" spans="1:3" x14ac:dyDescent="0.2">
      <c r="B123" s="273" t="s">
        <v>201</v>
      </c>
    </row>
    <row r="124" spans="1:3" x14ac:dyDescent="0.2">
      <c r="B124" s="345" t="s">
        <v>273</v>
      </c>
    </row>
    <row r="125" spans="1:3" x14ac:dyDescent="0.2">
      <c r="B125" s="273"/>
    </row>
    <row r="126" spans="1:3" x14ac:dyDescent="0.2">
      <c r="B126" s="275" t="s">
        <v>162</v>
      </c>
    </row>
    <row r="127" spans="1:3" x14ac:dyDescent="0.2">
      <c r="B127" s="273" t="s">
        <v>163</v>
      </c>
    </row>
  </sheetData>
  <sheetProtection algorithmName="SHA-512" hashValue="loEIavh9e85Qspt80QQqZiF8KEAG6MLy5hPd7aEXfg3zLu+N3WlmPbZpRwgDa5rx6CGMNBCsMSIInzKqMbqk1Q==" saltValue="sV0CSynTW8zAuzWdwEJ4kg==" spinCount="100000" sheet="1" objects="1" scenarios="1"/>
  <mergeCells count="5">
    <mergeCell ref="B27:D27"/>
    <mergeCell ref="B39:D39"/>
    <mergeCell ref="B43:D43"/>
    <mergeCell ref="B52:D52"/>
    <mergeCell ref="B13:D1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Z88"/>
  <sheetViews>
    <sheetView showGridLines="0" zoomScaleNormal="100" workbookViewId="0">
      <selection activeCell="C21" sqref="C21"/>
    </sheetView>
  </sheetViews>
  <sheetFormatPr defaultColWidth="9.140625" defaultRowHeight="12.75" outlineLevelRow="1" x14ac:dyDescent="0.2"/>
  <cols>
    <col min="1" max="1" width="6" style="137" customWidth="1"/>
    <col min="2" max="2" width="46.28515625" style="137" customWidth="1"/>
    <col min="3" max="3" width="21.5703125" style="137" customWidth="1"/>
    <col min="4" max="4" width="13.5703125" style="137" customWidth="1"/>
    <col min="5" max="6" width="21.140625" style="137" customWidth="1"/>
    <col min="7" max="8" width="15" style="137" customWidth="1"/>
    <col min="9" max="9" width="7" style="137" customWidth="1"/>
    <col min="10" max="10" width="32.28515625" style="137" customWidth="1"/>
    <col min="11" max="11" width="34.140625" style="137" customWidth="1"/>
    <col min="12" max="12" width="17" style="137" customWidth="1"/>
    <col min="13" max="13" width="9.85546875" style="137" hidden="1" customWidth="1"/>
    <col min="14" max="14" width="12.5703125" style="138" hidden="1" customWidth="1"/>
    <col min="15" max="26" width="9.5703125" style="137" bestFit="1" customWidth="1"/>
    <col min="27" max="16384" width="9.140625" style="137"/>
  </cols>
  <sheetData>
    <row r="1" spans="1:13" s="136" customFormat="1" ht="30" x14ac:dyDescent="0.4">
      <c r="A1" s="201" t="str">
        <f>'Contents and instructions'!A1</f>
        <v>BEIS Offshore Wind Programme</v>
      </c>
      <c r="B1" s="202"/>
      <c r="C1" s="202"/>
      <c r="D1" s="202"/>
      <c r="E1" s="202"/>
      <c r="F1" s="202"/>
      <c r="G1" s="202"/>
      <c r="H1" s="202"/>
      <c r="I1" s="202"/>
      <c r="J1" s="202"/>
      <c r="K1" s="202"/>
      <c r="L1" s="202"/>
      <c r="M1" s="202"/>
    </row>
    <row r="2" spans="1:13" s="136" customFormat="1" ht="30" x14ac:dyDescent="0.4">
      <c r="A2" s="201" t="str">
        <f>'Contents and instructions'!A2</f>
        <v>Innovation Impact on Levelised Cost of Energy Model</v>
      </c>
      <c r="B2" s="202"/>
      <c r="C2" s="202"/>
      <c r="D2" s="202"/>
      <c r="E2" s="202"/>
      <c r="F2" s="202"/>
      <c r="G2" s="202"/>
      <c r="H2" s="202"/>
      <c r="I2" s="202"/>
      <c r="J2" s="202"/>
      <c r="K2" s="202"/>
      <c r="L2" s="202"/>
      <c r="M2" s="202"/>
    </row>
    <row r="3" spans="1:13" s="179" customFormat="1" x14ac:dyDescent="0.2">
      <c r="A3" s="190"/>
      <c r="B3" s="278" t="str">
        <f>'Contents and instructions'!A3</f>
        <v>Revision 4</v>
      </c>
      <c r="C3" s="279"/>
      <c r="D3" s="279"/>
      <c r="E3" s="279"/>
      <c r="F3" s="279"/>
      <c r="G3" s="279"/>
      <c r="H3" s="279"/>
      <c r="I3" s="279"/>
      <c r="J3" s="279"/>
      <c r="K3" s="279"/>
      <c r="L3" s="279"/>
      <c r="M3" s="279"/>
    </row>
    <row r="4" spans="1:13" s="179" customFormat="1" x14ac:dyDescent="0.2">
      <c r="A4" s="190"/>
      <c r="B4" s="280">
        <f>'Contents and instructions'!A4</f>
        <v>44286</v>
      </c>
      <c r="C4" s="279"/>
      <c r="D4" s="279"/>
      <c r="E4" s="279"/>
      <c r="F4" s="279"/>
      <c r="G4" s="279"/>
      <c r="H4" s="279"/>
      <c r="I4" s="279"/>
      <c r="J4" s="279"/>
      <c r="K4" s="279"/>
      <c r="L4" s="279"/>
      <c r="M4" s="279"/>
    </row>
    <row r="5" spans="1:13" s="179" customFormat="1" x14ac:dyDescent="0.2">
      <c r="A5" s="190"/>
      <c r="B5" s="278"/>
      <c r="C5" s="279"/>
      <c r="D5" s="279"/>
      <c r="E5" s="279"/>
      <c r="F5" s="279"/>
      <c r="G5" s="279"/>
      <c r="H5" s="279"/>
      <c r="I5" s="279"/>
      <c r="J5" s="279"/>
      <c r="K5" s="279"/>
      <c r="L5" s="279"/>
      <c r="M5" s="279"/>
    </row>
    <row r="6" spans="1:13" s="179" customFormat="1" x14ac:dyDescent="0.2">
      <c r="A6" s="190"/>
      <c r="B6" s="220"/>
      <c r="C6" s="279"/>
      <c r="D6" s="279"/>
      <c r="E6" s="279"/>
      <c r="F6" s="279"/>
      <c r="G6" s="279"/>
      <c r="H6" s="279"/>
      <c r="I6" s="279"/>
      <c r="J6" s="279"/>
      <c r="K6" s="279"/>
      <c r="L6" s="279"/>
      <c r="M6" s="279"/>
    </row>
    <row r="7" spans="1:13" s="179" customFormat="1" outlineLevel="1" x14ac:dyDescent="0.2">
      <c r="A7" s="190"/>
      <c r="B7" s="279"/>
      <c r="C7" s="279"/>
      <c r="D7" s="279"/>
      <c r="E7" s="279"/>
      <c r="F7" s="279"/>
      <c r="G7" s="279"/>
      <c r="H7" s="279"/>
      <c r="I7" s="279"/>
      <c r="J7" s="279"/>
      <c r="K7" s="279"/>
      <c r="L7" s="279"/>
      <c r="M7" s="279"/>
    </row>
    <row r="8" spans="1:13" s="179" customFormat="1" ht="20.100000000000001" customHeight="1" outlineLevel="1" x14ac:dyDescent="0.25">
      <c r="A8" s="218" t="s">
        <v>206</v>
      </c>
      <c r="B8" s="218" t="s">
        <v>122</v>
      </c>
      <c r="C8" s="223" t="s">
        <v>123</v>
      </c>
      <c r="D8" s="432" t="s">
        <v>126</v>
      </c>
      <c r="E8" s="433"/>
      <c r="F8" s="433"/>
      <c r="G8" s="433"/>
      <c r="H8" s="433"/>
      <c r="I8" s="208"/>
      <c r="J8" s="279"/>
      <c r="K8" s="279"/>
      <c r="L8" s="279"/>
      <c r="M8" s="239" t="s">
        <v>138</v>
      </c>
    </row>
    <row r="9" spans="1:13" s="179" customFormat="1" ht="50.25" customHeight="1" outlineLevel="1" x14ac:dyDescent="0.25">
      <c r="A9" s="309">
        <v>1</v>
      </c>
      <c r="B9" s="219" t="s">
        <v>125</v>
      </c>
      <c r="C9" s="225" t="str">
        <f>IF(ISBLANK(C21), "No", "Yes")</f>
        <v>Yes</v>
      </c>
      <c r="D9" s="434" t="s">
        <v>133</v>
      </c>
      <c r="E9" s="434"/>
      <c r="F9" s="434"/>
      <c r="G9" s="434"/>
      <c r="H9" s="435"/>
      <c r="I9" s="279"/>
      <c r="J9" s="279"/>
      <c r="K9" s="279"/>
      <c r="M9" s="237" t="str">
        <f>C9</f>
        <v>Yes</v>
      </c>
    </row>
    <row r="10" spans="1:13" s="179" customFormat="1" ht="30" customHeight="1" outlineLevel="1" x14ac:dyDescent="0.25">
      <c r="A10" s="309" t="s">
        <v>241</v>
      </c>
      <c r="B10" s="226" t="s">
        <v>127</v>
      </c>
      <c r="C10" s="228" t="str" cm="1">
        <f t="array" ref="C10">IF((SUMPRODUCT(--(E39:F48&lt;&gt;0))=0), "No change", "Yes")</f>
        <v>No change</v>
      </c>
      <c r="D10" s="434" t="s">
        <v>214</v>
      </c>
      <c r="E10" s="434"/>
      <c r="F10" s="434"/>
      <c r="G10" s="434"/>
      <c r="H10" s="435"/>
      <c r="I10" s="279"/>
      <c r="J10" s="279"/>
      <c r="K10" s="279"/>
      <c r="L10" s="279"/>
      <c r="M10" s="237" t="str">
        <f>C11</f>
        <v>Yes</v>
      </c>
    </row>
    <row r="11" spans="1:13" s="179" customFormat="1" ht="15" outlineLevel="1" x14ac:dyDescent="0.25">
      <c r="A11" s="309" t="s">
        <v>242</v>
      </c>
      <c r="B11" s="226" t="s">
        <v>143</v>
      </c>
      <c r="C11" s="228" t="str">
        <f>IF(SUM(M39:N48)&gt;0, "No", "Yes")</f>
        <v>Yes</v>
      </c>
      <c r="D11" s="434" t="s">
        <v>212</v>
      </c>
      <c r="E11" s="434"/>
      <c r="F11" s="434"/>
      <c r="G11" s="434"/>
      <c r="H11" s="435"/>
      <c r="I11" s="279"/>
      <c r="J11" s="279"/>
      <c r="K11" s="279"/>
      <c r="L11" s="279"/>
      <c r="M11" s="237" t="str">
        <f>C13</f>
        <v>Yes</v>
      </c>
    </row>
    <row r="12" spans="1:13" s="179" customFormat="1" ht="30" customHeight="1" outlineLevel="1" x14ac:dyDescent="0.25">
      <c r="A12" s="309" t="s">
        <v>207</v>
      </c>
      <c r="B12" s="226" t="s">
        <v>128</v>
      </c>
      <c r="C12" s="228" t="str" cm="1">
        <f t="array" ref="C12">IF((SUMPRODUCT(--(E52:F54&lt;&gt;0))=0), "No change", "Yes")</f>
        <v>No change</v>
      </c>
      <c r="D12" s="434" t="s">
        <v>214</v>
      </c>
      <c r="E12" s="434"/>
      <c r="F12" s="434"/>
      <c r="G12" s="434"/>
      <c r="H12" s="435"/>
      <c r="I12" s="279"/>
      <c r="J12" s="279"/>
      <c r="K12" s="279"/>
      <c r="L12" s="279"/>
      <c r="M12" s="237" t="str">
        <f>C15</f>
        <v>Yes</v>
      </c>
    </row>
    <row r="13" spans="1:13" s="179" customFormat="1" ht="15" outlineLevel="1" x14ac:dyDescent="0.25">
      <c r="A13" s="309" t="s">
        <v>208</v>
      </c>
      <c r="B13" s="226" t="s">
        <v>144</v>
      </c>
      <c r="C13" s="228" t="str">
        <f>IF(SUM(M52:N54)&gt;0, "No", "Yes")</f>
        <v>Yes</v>
      </c>
      <c r="D13" s="434" t="s">
        <v>212</v>
      </c>
      <c r="E13" s="434"/>
      <c r="F13" s="434"/>
      <c r="G13" s="434"/>
      <c r="H13" s="435"/>
      <c r="I13" s="279"/>
      <c r="J13" s="279"/>
      <c r="K13" s="279"/>
      <c r="L13" s="279"/>
      <c r="M13" s="237" t="str">
        <f>C17</f>
        <v>No</v>
      </c>
    </row>
    <row r="14" spans="1:13" s="179" customFormat="1" ht="45.6" customHeight="1" outlineLevel="1" x14ac:dyDescent="0.25">
      <c r="A14" s="309" t="s">
        <v>209</v>
      </c>
      <c r="B14" s="226" t="s">
        <v>129</v>
      </c>
      <c r="C14" s="228" t="str">
        <f>IF((SUMPRODUCT(--(E58:F64&lt;&gt;0))=0), "No change", "Yes")</f>
        <v>No change</v>
      </c>
      <c r="D14" s="434" t="s">
        <v>213</v>
      </c>
      <c r="E14" s="434"/>
      <c r="F14" s="434"/>
      <c r="G14" s="434"/>
      <c r="H14" s="435"/>
      <c r="I14" s="279"/>
      <c r="J14" s="279"/>
      <c r="K14" s="279"/>
      <c r="L14" s="279"/>
      <c r="M14" s="279"/>
    </row>
    <row r="15" spans="1:13" s="179" customFormat="1" ht="30" customHeight="1" outlineLevel="1" x14ac:dyDescent="0.25">
      <c r="A15" s="309" t="s">
        <v>210</v>
      </c>
      <c r="B15" s="226" t="s">
        <v>240</v>
      </c>
      <c r="C15" s="228" t="str">
        <f>IF(SUM(M58:N64)&gt;0, "No", "Yes")</f>
        <v>Yes</v>
      </c>
      <c r="D15" s="434" t="s">
        <v>212</v>
      </c>
      <c r="E15" s="434"/>
      <c r="F15" s="434"/>
      <c r="G15" s="434"/>
      <c r="H15" s="435"/>
      <c r="I15" s="279"/>
      <c r="J15" s="279"/>
      <c r="K15" s="279"/>
      <c r="L15" s="279"/>
      <c r="M15" s="239" t="s">
        <v>139</v>
      </c>
    </row>
    <row r="16" spans="1:13" s="179" customFormat="1" ht="30" customHeight="1" outlineLevel="1" x14ac:dyDescent="0.25">
      <c r="A16" s="309">
        <v>5</v>
      </c>
      <c r="B16" s="226" t="s">
        <v>305</v>
      </c>
      <c r="C16" s="228" t="s">
        <v>230</v>
      </c>
      <c r="D16" s="434" t="s">
        <v>309</v>
      </c>
      <c r="E16" s="434"/>
      <c r="F16" s="434"/>
      <c r="G16" s="434"/>
      <c r="H16" s="435"/>
      <c r="I16" s="279"/>
      <c r="J16" s="279"/>
      <c r="K16" s="279"/>
      <c r="L16" s="279"/>
      <c r="M16" s="239"/>
    </row>
    <row r="17" spans="1:16" s="179" customFormat="1" ht="28.5" customHeight="1" outlineLevel="1" x14ac:dyDescent="0.25">
      <c r="A17" s="309">
        <v>6</v>
      </c>
      <c r="B17" s="226" t="s">
        <v>134</v>
      </c>
      <c r="C17" s="225" t="str">
        <f>IF((SUMPRODUCT(--(M17:M18&lt;&gt;"No change"))=0), "No", "Yes")</f>
        <v>No</v>
      </c>
      <c r="D17" s="434" t="s">
        <v>215</v>
      </c>
      <c r="E17" s="434"/>
      <c r="F17" s="434"/>
      <c r="G17" s="434"/>
      <c r="H17" s="435"/>
      <c r="I17" s="279"/>
      <c r="J17" s="279"/>
      <c r="K17" s="279"/>
      <c r="L17" s="279"/>
      <c r="M17" s="237" t="str">
        <f>C10</f>
        <v>No change</v>
      </c>
    </row>
    <row r="18" spans="1:16" s="179" customFormat="1" x14ac:dyDescent="0.2">
      <c r="A18" s="190"/>
      <c r="B18" s="278"/>
      <c r="C18" s="229" t="str">
        <f>IF(COUNTIFS(M9:M13,"&lt;&gt;Yes")=0=TRUE, "Sheet completed", "Sheet not complete")</f>
        <v>Sheet not complete</v>
      </c>
      <c r="D18" s="279"/>
      <c r="E18" s="279"/>
      <c r="F18" s="279"/>
      <c r="G18" s="279"/>
      <c r="H18" s="279"/>
      <c r="I18" s="279"/>
      <c r="J18" s="279"/>
      <c r="K18" s="279"/>
      <c r="L18" s="279"/>
      <c r="M18" s="237" t="str">
        <f>C12</f>
        <v>No change</v>
      </c>
    </row>
    <row r="19" spans="1:16" s="179" customFormat="1" x14ac:dyDescent="0.2">
      <c r="A19" s="190"/>
      <c r="B19" s="278"/>
      <c r="C19" s="279"/>
      <c r="D19" s="279"/>
      <c r="E19" s="279"/>
      <c r="F19" s="279"/>
      <c r="G19" s="279"/>
      <c r="H19" s="279"/>
      <c r="I19" s="279"/>
      <c r="J19" s="279"/>
      <c r="K19" s="279"/>
      <c r="L19" s="279"/>
      <c r="M19" s="279"/>
    </row>
    <row r="20" spans="1:16" s="179" customFormat="1" ht="13.5" thickBot="1" x14ac:dyDescent="0.25">
      <c r="A20" s="190"/>
      <c r="C20" s="279"/>
      <c r="D20" s="281" t="s">
        <v>298</v>
      </c>
      <c r="E20" s="279"/>
      <c r="F20" s="279"/>
      <c r="G20" s="279"/>
      <c r="H20" s="279"/>
      <c r="I20" s="279"/>
      <c r="J20" s="190"/>
      <c r="K20" s="279"/>
      <c r="L20" s="279"/>
      <c r="M20" s="279"/>
    </row>
    <row r="21" spans="1:16" s="190" customFormat="1" ht="71.45" customHeight="1" thickBot="1" x14ac:dyDescent="0.25">
      <c r="B21" s="131" t="s">
        <v>197</v>
      </c>
      <c r="C21" s="282" t="s">
        <v>31</v>
      </c>
      <c r="D21" s="75"/>
      <c r="E21" s="132" t="s">
        <v>63</v>
      </c>
      <c r="F21" s="132" t="s">
        <v>80</v>
      </c>
      <c r="G21" s="132" t="s">
        <v>94</v>
      </c>
      <c r="H21" s="279"/>
      <c r="I21" s="279"/>
      <c r="N21" s="199"/>
      <c r="O21" s="283"/>
    </row>
    <row r="22" spans="1:16" s="190" customFormat="1" x14ac:dyDescent="0.2">
      <c r="B22" s="77"/>
      <c r="D22" s="130" t="s">
        <v>31</v>
      </c>
      <c r="E22" s="76">
        <v>25</v>
      </c>
      <c r="F22" s="78">
        <v>40</v>
      </c>
      <c r="G22" s="79">
        <v>9</v>
      </c>
      <c r="H22" s="179"/>
      <c r="I22" s="179"/>
      <c r="J22" s="153"/>
      <c r="N22" s="199"/>
      <c r="O22" s="283"/>
    </row>
    <row r="23" spans="1:16" s="190" customFormat="1" x14ac:dyDescent="0.2">
      <c r="D23" s="130" t="s">
        <v>32</v>
      </c>
      <c r="E23" s="76">
        <v>35</v>
      </c>
      <c r="F23" s="78">
        <v>40</v>
      </c>
      <c r="G23" s="79">
        <v>9.4</v>
      </c>
      <c r="H23" s="179"/>
      <c r="I23" s="179"/>
      <c r="J23" s="153"/>
      <c r="N23" s="199"/>
      <c r="O23" s="283"/>
    </row>
    <row r="24" spans="1:16" s="190" customFormat="1" x14ac:dyDescent="0.2">
      <c r="B24" s="80"/>
      <c r="C24" s="81"/>
      <c r="D24" s="130" t="s">
        <v>33</v>
      </c>
      <c r="E24" s="76">
        <v>45</v>
      </c>
      <c r="F24" s="78">
        <v>40</v>
      </c>
      <c r="G24" s="79">
        <v>9.6999999999999993</v>
      </c>
      <c r="H24" s="179"/>
      <c r="I24" s="179"/>
      <c r="J24" s="153"/>
      <c r="M24" s="179"/>
      <c r="N24" s="179"/>
      <c r="O24" s="179"/>
      <c r="P24" s="179"/>
    </row>
    <row r="25" spans="1:16" s="190" customFormat="1" x14ac:dyDescent="0.2">
      <c r="B25" s="80"/>
      <c r="C25" s="81"/>
      <c r="D25" s="130" t="s">
        <v>34</v>
      </c>
      <c r="E25" s="76">
        <v>35</v>
      </c>
      <c r="F25" s="78">
        <v>125</v>
      </c>
      <c r="G25" s="79">
        <v>10</v>
      </c>
      <c r="H25" s="179"/>
      <c r="J25" s="153"/>
      <c r="N25" s="199"/>
      <c r="O25" s="199"/>
      <c r="P25" s="199"/>
    </row>
    <row r="26" spans="1:16" s="190" customFormat="1" x14ac:dyDescent="0.2">
      <c r="B26" s="80"/>
      <c r="C26" s="81"/>
      <c r="D26" s="130" t="s">
        <v>113</v>
      </c>
      <c r="E26" s="76">
        <v>100</v>
      </c>
      <c r="F26" s="78">
        <v>40</v>
      </c>
      <c r="G26" s="79">
        <v>9.6999999999999993</v>
      </c>
      <c r="H26" s="179"/>
      <c r="I26" s="179"/>
      <c r="J26" s="153"/>
      <c r="N26" s="199"/>
      <c r="O26" s="199"/>
      <c r="P26" s="199"/>
    </row>
    <row r="27" spans="1:16" s="190" customFormat="1" x14ac:dyDescent="0.2">
      <c r="C27" s="198"/>
      <c r="E27" s="198"/>
      <c r="F27" s="133"/>
      <c r="G27" s="133"/>
      <c r="H27" s="133"/>
      <c r="I27" s="133"/>
      <c r="N27" s="199"/>
      <c r="O27" s="283"/>
    </row>
    <row r="28" spans="1:16" s="190" customFormat="1" ht="13.5" thickBot="1" x14ac:dyDescent="0.25">
      <c r="E28" s="284" t="s">
        <v>116</v>
      </c>
      <c r="F28" s="133"/>
      <c r="G28" s="133"/>
      <c r="I28" s="184"/>
      <c r="M28" s="239" t="s">
        <v>137</v>
      </c>
      <c r="O28" s="283"/>
    </row>
    <row r="29" spans="1:16" s="190" customFormat="1" ht="13.5" thickBot="1" x14ac:dyDescent="0.25">
      <c r="B29" s="322" t="s">
        <v>243</v>
      </c>
      <c r="C29" s="285" t="s">
        <v>78</v>
      </c>
      <c r="E29" s="79" t="s">
        <v>78</v>
      </c>
      <c r="F29" s="318">
        <v>1</v>
      </c>
      <c r="G29" s="133"/>
      <c r="I29" s="184"/>
      <c r="M29" s="237" t="str">
        <f>"CAPEX for FID 2025 (2020 "&amp;C29&amp;"/MWh)"</f>
        <v>CAPEX for FID 2025 (2020 £/MWh)</v>
      </c>
      <c r="O29" s="283"/>
    </row>
    <row r="30" spans="1:16" s="190" customFormat="1" x14ac:dyDescent="0.2">
      <c r="B30" s="276" t="s">
        <v>117</v>
      </c>
      <c r="C30" s="311">
        <f>INDEX(F29:F31, MATCH(C29,E29:E31,0))</f>
        <v>1</v>
      </c>
      <c r="E30" s="79" t="s">
        <v>79</v>
      </c>
      <c r="F30" s="318">
        <v>1.1399999999999999</v>
      </c>
      <c r="G30" s="133"/>
      <c r="I30" s="184"/>
      <c r="K30" s="200"/>
      <c r="M30" s="238" t="str">
        <f>"OPEX for FID 2025 (2020 "&amp;C29&amp;"/MW/year)"</f>
        <v>OPEX for FID 2025 (2020 £/MW/year)</v>
      </c>
      <c r="O30" s="283"/>
    </row>
    <row r="31" spans="1:16" s="190" customFormat="1" x14ac:dyDescent="0.2">
      <c r="B31" s="131"/>
      <c r="C31" s="131"/>
      <c r="E31" s="79" t="s">
        <v>95</v>
      </c>
      <c r="F31" s="318">
        <v>1.34</v>
      </c>
      <c r="G31" s="133"/>
      <c r="I31" s="184"/>
      <c r="K31" s="200"/>
      <c r="N31" s="199"/>
      <c r="O31" s="283"/>
    </row>
    <row r="32" spans="1:16" s="190" customFormat="1" ht="13.5" thickBot="1" x14ac:dyDescent="0.25">
      <c r="C32" s="131"/>
      <c r="E32" s="133"/>
      <c r="F32" s="133"/>
      <c r="G32" s="133"/>
      <c r="H32" s="133"/>
      <c r="I32" s="184"/>
      <c r="N32" s="199"/>
    </row>
    <row r="33" spans="1:15" s="190" customFormat="1" ht="13.5" thickBot="1" x14ac:dyDescent="0.25">
      <c r="B33" s="83" t="s">
        <v>68</v>
      </c>
      <c r="C33" s="128" t="str">
        <f>VLOOKUP(B33, input_data, MATCH($C$21, INDEX(input_data,2,),0),FALSE)</f>
        <v>Monopile</v>
      </c>
      <c r="D33" s="319"/>
      <c r="N33" s="199"/>
      <c r="O33" s="283"/>
    </row>
    <row r="34" spans="1:15" s="190" customFormat="1" ht="6" customHeight="1" thickBot="1" x14ac:dyDescent="0.25">
      <c r="B34" s="80"/>
      <c r="C34" s="81"/>
      <c r="D34" s="319"/>
      <c r="E34" s="82"/>
      <c r="F34" s="82"/>
      <c r="G34" s="81"/>
      <c r="H34" s="81"/>
      <c r="I34" s="81"/>
      <c r="J34" s="82"/>
      <c r="N34" s="199"/>
      <c r="O34" s="283"/>
    </row>
    <row r="35" spans="1:15" s="190" customFormat="1" ht="13.5" thickBot="1" x14ac:dyDescent="0.25">
      <c r="B35" s="83" t="str">
        <f>"LCOE for FID 2025 (2020 "&amp;C29&amp;"/MWh) - base"</f>
        <v>LCOE for FID 2025 (2020 £/MWh) - base</v>
      </c>
      <c r="C35" s="128">
        <f>C$76</f>
        <v>38.870262142982007</v>
      </c>
      <c r="D35" s="319"/>
      <c r="E35" s="83" t="str">
        <f>"LCOE for FID 2025 (2020 "&amp;C29&amp;"/MWh) - innovation"</f>
        <v>LCOE for FID 2025 (2020 £/MWh) - innovation</v>
      </c>
      <c r="F35" s="84"/>
      <c r="G35" s="128">
        <f>G$76</f>
        <v>38.870262142982007</v>
      </c>
      <c r="H35" s="142"/>
      <c r="I35" s="81"/>
      <c r="J35" s="83" t="s">
        <v>61</v>
      </c>
      <c r="K35" s="129">
        <f>(G35-C35)/C35</f>
        <v>0</v>
      </c>
      <c r="N35" s="199"/>
      <c r="O35" s="283"/>
    </row>
    <row r="36" spans="1:15" s="190" customFormat="1" ht="5.25" customHeight="1" thickBot="1" x14ac:dyDescent="0.25">
      <c r="B36" s="80"/>
      <c r="C36" s="81"/>
      <c r="D36" s="319"/>
      <c r="E36" s="82"/>
      <c r="F36" s="82"/>
      <c r="G36" s="81"/>
      <c r="H36" s="81"/>
      <c r="I36" s="81"/>
      <c r="J36" s="82"/>
      <c r="N36" s="199"/>
      <c r="O36" s="283"/>
    </row>
    <row r="37" spans="1:15" s="153" customFormat="1" ht="30" customHeight="1" thickBot="1" x14ac:dyDescent="0.25">
      <c r="B37" s="436" t="str">
        <f>"18MW turbines, site type "&amp;C21&amp;" - base case"</f>
        <v>18MW turbines, site type A - base case</v>
      </c>
      <c r="C37" s="438"/>
      <c r="D37" s="319"/>
      <c r="E37" s="436" t="str">
        <f>"18MW turbines, site type "&amp;C21&amp;" - with innovation"</f>
        <v>18MW turbines, site type A - with innovation</v>
      </c>
      <c r="F37" s="437"/>
      <c r="G37" s="438"/>
      <c r="H37" s="81"/>
      <c r="I37" s="81"/>
      <c r="J37" s="439" t="s">
        <v>306</v>
      </c>
      <c r="K37" s="440"/>
      <c r="N37" s="3"/>
    </row>
    <row r="38" spans="1:15" s="153" customFormat="1" ht="52.5" customHeight="1" x14ac:dyDescent="0.2">
      <c r="B38" s="85" t="s">
        <v>20</v>
      </c>
      <c r="C38" s="185" t="str">
        <f>C29&amp;"000s/MW"</f>
        <v>£000s/MW</v>
      </c>
      <c r="D38" s="319"/>
      <c r="E38" s="139" t="s">
        <v>28</v>
      </c>
      <c r="F38" s="140" t="s">
        <v>29</v>
      </c>
      <c r="G38" s="141" t="str">
        <f>C29&amp;"000s/MW"</f>
        <v>£000s/MW</v>
      </c>
      <c r="H38" s="334" t="s">
        <v>77</v>
      </c>
      <c r="I38" s="87"/>
      <c r="J38" s="88" t="s">
        <v>35</v>
      </c>
      <c r="K38" s="89" t="s">
        <v>267</v>
      </c>
      <c r="L38" s="307"/>
      <c r="M38" s="235" t="s">
        <v>135</v>
      </c>
      <c r="N38" s="235" t="s">
        <v>136</v>
      </c>
    </row>
    <row r="39" spans="1:15" s="153" customFormat="1" x14ac:dyDescent="0.2">
      <c r="B39" s="320" t="s">
        <v>259</v>
      </c>
      <c r="C39" s="90">
        <f>VLOOKUP(B39, input_data, MATCH($C$21, INDEX(input_data,2,),0),FALSE)*$C$30</f>
        <v>41.7</v>
      </c>
      <c r="D39" s="319"/>
      <c r="E39" s="337">
        <v>0</v>
      </c>
      <c r="F39" s="329">
        <v>0</v>
      </c>
      <c r="G39" s="90">
        <f t="shared" ref="G39:G45" si="0">$C39*(1+F39)*(1+E39)</f>
        <v>41.7</v>
      </c>
      <c r="H39" s="335">
        <f>'Contributions to LCOE'!C54</f>
        <v>0</v>
      </c>
      <c r="I39" s="286"/>
      <c r="J39" s="233"/>
      <c r="K39" s="287"/>
      <c r="L39" s="308" t="str">
        <f>IF(SUM(M39:N39)&gt;0, "Add description", "")</f>
        <v/>
      </c>
      <c r="M39" s="234">
        <f>IF(AND(E39&lt;&gt;0, ISBLANK(J39)), 1, 0)</f>
        <v>0</v>
      </c>
      <c r="N39" s="234">
        <f>IF(AND(F39&lt;&gt;0, ISBLANK(K39)), 1, 0)</f>
        <v>0</v>
      </c>
    </row>
    <row r="40" spans="1:15" s="153" customFormat="1" x14ac:dyDescent="0.2">
      <c r="A40" s="90"/>
      <c r="B40" s="320" t="s">
        <v>260</v>
      </c>
      <c r="C40" s="90">
        <f t="shared" ref="C40:C46" si="1">VLOOKUP(B40, input_data, MATCH($C$21, INDEX(input_data,2,),0),FALSE)*$C$30</f>
        <v>41.7</v>
      </c>
      <c r="D40" s="319"/>
      <c r="E40" s="337">
        <v>0</v>
      </c>
      <c r="F40" s="329">
        <v>0</v>
      </c>
      <c r="G40" s="90">
        <f t="shared" si="0"/>
        <v>41.7</v>
      </c>
      <c r="H40" s="335">
        <f>'Contributions to LCOE'!C55</f>
        <v>0</v>
      </c>
      <c r="I40" s="286"/>
      <c r="J40" s="233"/>
      <c r="K40" s="287"/>
      <c r="L40" s="308" t="str">
        <f t="shared" ref="L40:L48" si="2">IF(SUM(M40:N40)&gt;0, "Add description", "")</f>
        <v/>
      </c>
      <c r="M40" s="234">
        <f t="shared" ref="M40:M48" si="3">IF(AND(E40&lt;&gt;0, ISBLANK(J40)), 1, 0)</f>
        <v>0</v>
      </c>
      <c r="N40" s="234">
        <f t="shared" ref="N40:N48" si="4">IF(AND(F40&lt;&gt;0, ISBLANK(K40)), 1, 0)</f>
        <v>0</v>
      </c>
    </row>
    <row r="41" spans="1:15" s="153" customFormat="1" x14ac:dyDescent="0.2">
      <c r="A41" s="90"/>
      <c r="B41" s="321" t="s">
        <v>258</v>
      </c>
      <c r="C41" s="90">
        <f>VLOOKUP(B41, input_data, MATCH($C$21, INDEX(input_data,2,),0),FALSE)*$C$30</f>
        <v>811.4</v>
      </c>
      <c r="D41" s="319"/>
      <c r="E41" s="337">
        <v>0</v>
      </c>
      <c r="F41" s="329">
        <v>0</v>
      </c>
      <c r="G41" s="90">
        <f>$C41*(1+F41)*(1+E41)</f>
        <v>811.4</v>
      </c>
      <c r="H41" s="335">
        <f>'Contributions to LCOE'!C57</f>
        <v>0</v>
      </c>
      <c r="I41" s="286"/>
      <c r="J41" s="233"/>
      <c r="K41" s="287"/>
      <c r="L41" s="308" t="str">
        <f t="shared" si="2"/>
        <v/>
      </c>
      <c r="M41" s="234">
        <f t="shared" si="3"/>
        <v>0</v>
      </c>
      <c r="N41" s="234">
        <f t="shared" si="4"/>
        <v>0</v>
      </c>
    </row>
    <row r="42" spans="1:15" s="153" customFormat="1" x14ac:dyDescent="0.2">
      <c r="A42" s="90"/>
      <c r="B42" s="289" t="s">
        <v>69</v>
      </c>
      <c r="C42" s="90">
        <f t="shared" si="1"/>
        <v>70.8</v>
      </c>
      <c r="D42" s="319"/>
      <c r="E42" s="337">
        <v>0</v>
      </c>
      <c r="F42" s="329">
        <v>0</v>
      </c>
      <c r="G42" s="90">
        <f>$C42*(1+F42)*(1+E42)</f>
        <v>70.8</v>
      </c>
      <c r="H42" s="335">
        <f>'Contributions to LCOE'!C59</f>
        <v>0</v>
      </c>
      <c r="I42" s="286"/>
      <c r="J42" s="233"/>
      <c r="K42" s="287"/>
      <c r="L42" s="308" t="str">
        <f t="shared" si="2"/>
        <v/>
      </c>
      <c r="M42" s="234">
        <f t="shared" si="3"/>
        <v>0</v>
      </c>
      <c r="N42" s="234">
        <f t="shared" si="4"/>
        <v>0</v>
      </c>
    </row>
    <row r="43" spans="1:15" s="153" customFormat="1" x14ac:dyDescent="0.2">
      <c r="A43" s="289"/>
      <c r="B43" s="289" t="s">
        <v>119</v>
      </c>
      <c r="C43" s="90">
        <f t="shared" si="1"/>
        <v>178.2</v>
      </c>
      <c r="D43" s="319"/>
      <c r="E43" s="337">
        <v>0</v>
      </c>
      <c r="F43" s="329">
        <v>0</v>
      </c>
      <c r="G43" s="90">
        <f t="shared" si="0"/>
        <v>178.2</v>
      </c>
      <c r="H43" s="335">
        <f>'Contributions to LCOE'!C59</f>
        <v>0</v>
      </c>
      <c r="I43" s="286"/>
      <c r="J43" s="233"/>
      <c r="K43" s="287"/>
      <c r="L43" s="308" t="str">
        <f t="shared" si="2"/>
        <v/>
      </c>
      <c r="M43" s="234">
        <f t="shared" si="3"/>
        <v>0</v>
      </c>
      <c r="N43" s="234">
        <f t="shared" si="4"/>
        <v>0</v>
      </c>
    </row>
    <row r="44" spans="1:15" s="153" customFormat="1" x14ac:dyDescent="0.2">
      <c r="A44" s="90"/>
      <c r="B44" s="289" t="s">
        <v>16</v>
      </c>
      <c r="C44" s="90">
        <f t="shared" si="1"/>
        <v>22.7</v>
      </c>
      <c r="D44" s="319"/>
      <c r="E44" s="337">
        <v>0</v>
      </c>
      <c r="F44" s="329">
        <v>0</v>
      </c>
      <c r="G44" s="90">
        <f t="shared" si="0"/>
        <v>22.7</v>
      </c>
      <c r="H44" s="335">
        <f>'Contributions to LCOE'!C60</f>
        <v>0</v>
      </c>
      <c r="I44" s="286"/>
      <c r="J44" s="233"/>
      <c r="K44" s="287"/>
      <c r="L44" s="308" t="str">
        <f t="shared" si="2"/>
        <v/>
      </c>
      <c r="M44" s="234">
        <f t="shared" si="3"/>
        <v>0</v>
      </c>
      <c r="N44" s="234">
        <f t="shared" si="4"/>
        <v>0</v>
      </c>
    </row>
    <row r="45" spans="1:15" s="153" customFormat="1" x14ac:dyDescent="0.2">
      <c r="A45" s="90"/>
      <c r="B45" s="289" t="s">
        <v>17</v>
      </c>
      <c r="C45" s="90">
        <f t="shared" si="1"/>
        <v>131.1</v>
      </c>
      <c r="D45" s="319"/>
      <c r="E45" s="337">
        <v>0</v>
      </c>
      <c r="F45" s="329">
        <v>0</v>
      </c>
      <c r="G45" s="90">
        <f t="shared" si="0"/>
        <v>131.1</v>
      </c>
      <c r="H45" s="335">
        <f>'Contributions to LCOE'!C61</f>
        <v>0</v>
      </c>
      <c r="I45" s="286"/>
      <c r="J45" s="233"/>
      <c r="K45" s="287"/>
      <c r="L45" s="308" t="str">
        <f t="shared" si="2"/>
        <v/>
      </c>
      <c r="M45" s="234">
        <f t="shared" si="3"/>
        <v>0</v>
      </c>
      <c r="N45" s="234">
        <f t="shared" si="4"/>
        <v>0</v>
      </c>
    </row>
    <row r="46" spans="1:15" s="153" customFormat="1" x14ac:dyDescent="0.2">
      <c r="A46" s="90"/>
      <c r="B46" s="321" t="s">
        <v>250</v>
      </c>
      <c r="C46" s="90">
        <f t="shared" si="1"/>
        <v>332.3</v>
      </c>
      <c r="D46" s="319"/>
      <c r="E46" s="337">
        <v>0</v>
      </c>
      <c r="F46" s="329">
        <v>0</v>
      </c>
      <c r="G46" s="90">
        <f>$C46*(1+F46)*(1+E46)</f>
        <v>332.3</v>
      </c>
      <c r="H46" s="335">
        <f>'Contributions to LCOE'!C62</f>
        <v>0</v>
      </c>
      <c r="I46" s="288"/>
      <c r="J46" s="287"/>
      <c r="K46" s="287"/>
      <c r="L46" s="308" t="str">
        <f t="shared" si="2"/>
        <v/>
      </c>
      <c r="M46" s="234">
        <f t="shared" si="3"/>
        <v>0</v>
      </c>
      <c r="N46" s="234">
        <f t="shared" si="4"/>
        <v>0</v>
      </c>
    </row>
    <row r="47" spans="1:15" s="153" customFormat="1" x14ac:dyDescent="0.2">
      <c r="A47" s="90"/>
      <c r="B47" s="289" t="s">
        <v>25</v>
      </c>
      <c r="C47" s="90">
        <f>VLOOKUP(B47, input_data, MATCH($C$21, INDEX(input_data,2,),0),FALSE)*$C$30</f>
        <v>37.799999999999997</v>
      </c>
      <c r="D47" s="319"/>
      <c r="E47" s="337">
        <v>0</v>
      </c>
      <c r="F47" s="329">
        <v>0</v>
      </c>
      <c r="G47" s="90">
        <f>$C47*(1+F47)*(1+E47)</f>
        <v>37.799999999999997</v>
      </c>
      <c r="H47" s="335">
        <f>'Contributions to LCOE'!C56</f>
        <v>0</v>
      </c>
      <c r="I47" s="286"/>
      <c r="J47" s="233"/>
      <c r="K47" s="287"/>
      <c r="L47" s="308" t="str">
        <f>IF(SUM(M47:N47)&gt;0, "Add description", "")</f>
        <v/>
      </c>
      <c r="M47" s="234">
        <f>IF(AND(E47&lt;&gt;0, ISBLANK(J47)), 1, 0)</f>
        <v>0</v>
      </c>
      <c r="N47" s="234">
        <f>IF(AND(F47&lt;&gt;0, ISBLANK(K47)), 1, 0)</f>
        <v>0</v>
      </c>
    </row>
    <row r="48" spans="1:15" s="153" customFormat="1" ht="13.5" thickBot="1" x14ac:dyDescent="0.25">
      <c r="A48" s="90"/>
      <c r="B48" s="289" t="s">
        <v>53</v>
      </c>
      <c r="C48" s="91">
        <f>SUM(C40:C46)*5%</f>
        <v>79.41</v>
      </c>
      <c r="D48" s="319"/>
      <c r="E48" s="337">
        <v>0</v>
      </c>
      <c r="F48" s="329">
        <v>0</v>
      </c>
      <c r="G48" s="90">
        <f>$C48*(1+F48)*(1+E48)</f>
        <v>79.41</v>
      </c>
      <c r="H48" s="335">
        <f>'Contributions to LCOE'!C63</f>
        <v>0</v>
      </c>
      <c r="I48" s="288"/>
      <c r="J48" s="287"/>
      <c r="K48" s="287"/>
      <c r="L48" s="308" t="str">
        <f t="shared" si="2"/>
        <v/>
      </c>
      <c r="M48" s="234">
        <f t="shared" si="3"/>
        <v>0</v>
      </c>
      <c r="N48" s="234">
        <f t="shared" si="4"/>
        <v>0</v>
      </c>
    </row>
    <row r="49" spans="1:15" s="97" customFormat="1" ht="13.5" thickBot="1" x14ac:dyDescent="0.25">
      <c r="A49" s="153"/>
      <c r="B49" s="92" t="s">
        <v>8</v>
      </c>
      <c r="C49" s="93">
        <f>SUM(C39:C48)</f>
        <v>1747.11</v>
      </c>
      <c r="D49" s="319"/>
      <c r="E49" s="94"/>
      <c r="F49" s="95"/>
      <c r="G49" s="338">
        <f>SUM(G39:G48)</f>
        <v>1747.11</v>
      </c>
      <c r="H49" s="336">
        <f>'Contributions to LCOE'!C64</f>
        <v>9.0346438086943426E-3</v>
      </c>
      <c r="I49" s="96"/>
      <c r="J49" s="83" t="s">
        <v>81</v>
      </c>
      <c r="K49" s="129">
        <f>(G49-C49)/C49</f>
        <v>0</v>
      </c>
      <c r="L49" s="307"/>
    </row>
    <row r="50" spans="1:15" s="97" customFormat="1" ht="6" customHeight="1" thickBot="1" x14ac:dyDescent="0.25">
      <c r="B50" s="98"/>
      <c r="C50" s="99"/>
      <c r="D50" s="319"/>
      <c r="E50" s="98"/>
      <c r="F50" s="98"/>
      <c r="G50" s="99"/>
      <c r="H50" s="96"/>
      <c r="I50" s="96"/>
      <c r="J50" s="100"/>
      <c r="K50" s="100"/>
      <c r="L50" s="307"/>
    </row>
    <row r="51" spans="1:15" s="97" customFormat="1" ht="13.5" thickBot="1" x14ac:dyDescent="0.25">
      <c r="B51" s="85" t="s">
        <v>21</v>
      </c>
      <c r="C51" s="141" t="str">
        <f>C29&amp;"000s/MW"</f>
        <v>£000s/MW</v>
      </c>
      <c r="D51" s="319"/>
      <c r="E51" s="101"/>
      <c r="F51" s="102"/>
      <c r="G51" s="340" t="str">
        <f>C29&amp;"000s/MW"</f>
        <v>£000s/MW</v>
      </c>
      <c r="H51" s="103"/>
      <c r="I51" s="103"/>
      <c r="J51" s="86"/>
      <c r="K51" s="86"/>
      <c r="L51" s="307"/>
    </row>
    <row r="52" spans="1:15" s="153" customFormat="1" x14ac:dyDescent="0.2">
      <c r="A52" s="90"/>
      <c r="B52" s="277" t="s">
        <v>121</v>
      </c>
      <c r="C52" s="90">
        <f>VLOOKUP(B52, input_data, MATCH($C$21, INDEX(input_data,2,),0),FALSE)*$C$30</f>
        <v>11.3</v>
      </c>
      <c r="D52" s="319"/>
      <c r="E52" s="337">
        <v>0</v>
      </c>
      <c r="F52" s="329">
        <v>0</v>
      </c>
      <c r="G52" s="90">
        <f>$C52*(1+F52)*(1+E52)</f>
        <v>11.3</v>
      </c>
      <c r="H52" s="339">
        <f>'Contributions to LCOE'!C67</f>
        <v>0</v>
      </c>
      <c r="I52" s="286"/>
      <c r="J52" s="233"/>
      <c r="K52" s="287"/>
      <c r="L52" s="308" t="str">
        <f t="shared" ref="L52:L54" si="5">IF(SUM(M52:N52)&gt;0, "Add description", "")</f>
        <v/>
      </c>
      <c r="M52" s="234">
        <f t="shared" ref="M52:N54" si="6">IF(AND(E52&lt;&gt;0, ISBLANK(J52)), 1, 0)</f>
        <v>0</v>
      </c>
      <c r="N52" s="234">
        <f t="shared" si="6"/>
        <v>0</v>
      </c>
    </row>
    <row r="53" spans="1:15" s="153" customFormat="1" x14ac:dyDescent="0.2">
      <c r="A53" s="90"/>
      <c r="B53" s="146" t="s">
        <v>26</v>
      </c>
      <c r="C53" s="90">
        <f>VLOOKUP(B53, input_data, MATCH($C$21, INDEX(input_data,2,),0),FALSE)*$C$30</f>
        <v>3.5</v>
      </c>
      <c r="D53" s="319"/>
      <c r="E53" s="337">
        <v>0</v>
      </c>
      <c r="F53" s="329">
        <v>0</v>
      </c>
      <c r="G53" s="90">
        <f>$C53*(1+F53)*(1+E53)</f>
        <v>3.5</v>
      </c>
      <c r="H53" s="335">
        <f>'Contributions to LCOE'!C68</f>
        <v>0</v>
      </c>
      <c r="I53" s="286"/>
      <c r="J53" s="233"/>
      <c r="K53" s="287"/>
      <c r="L53" s="308" t="str">
        <f t="shared" si="5"/>
        <v/>
      </c>
      <c r="M53" s="234">
        <f t="shared" si="6"/>
        <v>0</v>
      </c>
      <c r="N53" s="234">
        <f t="shared" si="6"/>
        <v>0</v>
      </c>
    </row>
    <row r="54" spans="1:15" s="153" customFormat="1" ht="13.5" thickBot="1" x14ac:dyDescent="0.25">
      <c r="A54" s="90"/>
      <c r="B54" s="146" t="s">
        <v>18</v>
      </c>
      <c r="C54" s="90">
        <f>VLOOKUP(B54, input_data, MATCH($C$21, INDEX(input_data,2,),0),FALSE)*$C$30</f>
        <v>12.3</v>
      </c>
      <c r="D54" s="319"/>
      <c r="E54" s="337">
        <v>0</v>
      </c>
      <c r="F54" s="329">
        <v>0</v>
      </c>
      <c r="G54" s="90">
        <f>$C54*(1+F54)*(1+E54)</f>
        <v>12.3</v>
      </c>
      <c r="H54" s="335">
        <f>'Contributions to LCOE'!C69</f>
        <v>0</v>
      </c>
      <c r="I54" s="286"/>
      <c r="J54" s="233"/>
      <c r="K54" s="287"/>
      <c r="L54" s="308" t="str">
        <f t="shared" si="5"/>
        <v/>
      </c>
      <c r="M54" s="234">
        <f t="shared" si="6"/>
        <v>0</v>
      </c>
      <c r="N54" s="234">
        <f t="shared" si="6"/>
        <v>0</v>
      </c>
    </row>
    <row r="55" spans="1:15" s="97" customFormat="1" ht="13.5" thickBot="1" x14ac:dyDescent="0.25">
      <c r="B55" s="104" t="s">
        <v>9</v>
      </c>
      <c r="C55" s="105">
        <f>SUM(C52:C54)</f>
        <v>27.1</v>
      </c>
      <c r="D55" s="319"/>
      <c r="E55" s="94"/>
      <c r="F55" s="95"/>
      <c r="G55" s="338">
        <f>SUM(G52:G54)</f>
        <v>27.1</v>
      </c>
      <c r="H55" s="336">
        <f>'Contributions to LCOE'!C70</f>
        <v>0</v>
      </c>
      <c r="I55" s="96"/>
      <c r="J55" s="83" t="s">
        <v>82</v>
      </c>
      <c r="K55" s="129">
        <f>(G55-C55)/C55</f>
        <v>0</v>
      </c>
      <c r="L55" s="307"/>
      <c r="O55" s="153"/>
    </row>
    <row r="56" spans="1:15" s="97" customFormat="1" ht="6" customHeight="1" thickBot="1" x14ac:dyDescent="0.25">
      <c r="B56" s="98"/>
      <c r="C56" s="99"/>
      <c r="D56" s="319"/>
      <c r="E56" s="290"/>
      <c r="F56" s="290"/>
      <c r="G56" s="99"/>
      <c r="H56" s="96"/>
      <c r="I56" s="96"/>
      <c r="J56" s="100"/>
      <c r="K56" s="100"/>
      <c r="L56" s="307"/>
      <c r="O56" s="153"/>
    </row>
    <row r="57" spans="1:15" s="97" customFormat="1" ht="13.5" thickBot="1" x14ac:dyDescent="0.25">
      <c r="B57" s="333" t="s">
        <v>263</v>
      </c>
      <c r="C57" s="109"/>
      <c r="D57" s="319"/>
      <c r="E57" s="291"/>
      <c r="F57" s="292"/>
      <c r="G57" s="110"/>
      <c r="H57" s="96"/>
      <c r="I57" s="96"/>
      <c r="J57" s="111"/>
      <c r="K57" s="100"/>
      <c r="L57" s="307"/>
      <c r="O57" s="153"/>
    </row>
    <row r="58" spans="1:15" s="153" customFormat="1" x14ac:dyDescent="0.2">
      <c r="A58" s="90"/>
      <c r="B58" s="146" t="s">
        <v>265</v>
      </c>
      <c r="C58" s="90">
        <f>VLOOKUP(B58, input_data, MATCH($C$21, INDEX(input_data,2,),0),FALSE)</f>
        <v>4681</v>
      </c>
      <c r="D58" s="319"/>
      <c r="E58" s="337">
        <v>0</v>
      </c>
      <c r="F58" s="329">
        <v>0</v>
      </c>
      <c r="G58" s="90">
        <f>$C58*(1+F58)*(1+E58)</f>
        <v>4681</v>
      </c>
      <c r="H58" s="339">
        <f>'Contributions to LCOE'!C74</f>
        <v>0</v>
      </c>
      <c r="I58" s="96"/>
      <c r="J58" s="287"/>
      <c r="K58" s="287"/>
      <c r="L58" s="308" t="str">
        <f t="shared" ref="L58" si="7">IF(SUM(M58:N58)&gt;0, "Add description", "")</f>
        <v/>
      </c>
      <c r="M58" s="234">
        <f t="shared" ref="M58:N58" si="8">IF(AND(E58&lt;&gt;0, ISBLANK(J58)), 1, 0)</f>
        <v>0</v>
      </c>
      <c r="N58" s="234">
        <f t="shared" si="8"/>
        <v>0</v>
      </c>
    </row>
    <row r="59" spans="1:15" s="153" customFormat="1" x14ac:dyDescent="0.2">
      <c r="A59" s="90"/>
      <c r="B59" s="112" t="s">
        <v>249</v>
      </c>
      <c r="C59" s="113">
        <f>C58/8766</f>
        <v>0.53399498060689021</v>
      </c>
      <c r="D59" s="319"/>
      <c r="E59" s="342"/>
      <c r="F59" s="330"/>
      <c r="G59" s="113">
        <f>G58/8766</f>
        <v>0.53399498060689021</v>
      </c>
      <c r="H59" s="341" t="s">
        <v>98</v>
      </c>
      <c r="I59" s="96"/>
      <c r="J59" s="293"/>
      <c r="K59" s="293"/>
      <c r="L59" s="307"/>
    </row>
    <row r="60" spans="1:15" s="153" customFormat="1" x14ac:dyDescent="0.2">
      <c r="A60" s="90"/>
      <c r="B60" s="146" t="s">
        <v>27</v>
      </c>
      <c r="C60" s="114">
        <f>VLOOKUP(B60, input_data, MATCH($C$21, INDEX(input_data,2,),0),FALSE)</f>
        <v>0.95599999999999996</v>
      </c>
      <c r="D60" s="319"/>
      <c r="E60" s="337">
        <v>0</v>
      </c>
      <c r="F60" s="329">
        <v>0</v>
      </c>
      <c r="G60" s="114">
        <f>C60+E60+F60</f>
        <v>0.95599999999999996</v>
      </c>
      <c r="H60" s="335">
        <f>'Contributions to LCOE'!C76</f>
        <v>0</v>
      </c>
      <c r="I60" s="96"/>
      <c r="J60" s="287"/>
      <c r="K60" s="287"/>
      <c r="L60" s="308" t="str">
        <f t="shared" ref="L60:L66" si="9">IF(SUM(M60:N60)&gt;0, "Add description", "")</f>
        <v/>
      </c>
      <c r="M60" s="234">
        <f t="shared" ref="M60:N64" si="10">IF(AND(E60&lt;&gt;0, ISBLANK(J60)), 1, 0)</f>
        <v>0</v>
      </c>
      <c r="N60" s="234">
        <f t="shared" si="10"/>
        <v>0</v>
      </c>
    </row>
    <row r="61" spans="1:15" s="153" customFormat="1" x14ac:dyDescent="0.2">
      <c r="A61" s="90"/>
      <c r="B61" s="146" t="s">
        <v>50</v>
      </c>
      <c r="C61" s="114">
        <f>VLOOKUP(B61, input_data, MATCH($C$21, INDEX(input_data,2,),0),FALSE)</f>
        <v>6.7000000000000004E-2</v>
      </c>
      <c r="D61" s="319"/>
      <c r="E61" s="337">
        <v>0</v>
      </c>
      <c r="F61" s="329">
        <v>0</v>
      </c>
      <c r="G61" s="114">
        <f>C61+E61+F61</f>
        <v>6.7000000000000004E-2</v>
      </c>
      <c r="H61" s="335">
        <f>'Contributions to LCOE'!C77</f>
        <v>0</v>
      </c>
      <c r="I61" s="96"/>
      <c r="J61" s="287"/>
      <c r="K61" s="287"/>
      <c r="L61" s="308" t="str">
        <f t="shared" si="9"/>
        <v/>
      </c>
      <c r="M61" s="234">
        <f t="shared" si="10"/>
        <v>0</v>
      </c>
      <c r="N61" s="234">
        <f t="shared" si="10"/>
        <v>0</v>
      </c>
    </row>
    <row r="62" spans="1:15" s="153" customFormat="1" x14ac:dyDescent="0.2">
      <c r="A62" s="90"/>
      <c r="B62" s="146" t="s">
        <v>51</v>
      </c>
      <c r="C62" s="114">
        <f>VLOOKUP(B62, input_data, MATCH($C$21, INDEX(input_data,2,),0),FALSE)</f>
        <v>0.01</v>
      </c>
      <c r="D62" s="319"/>
      <c r="E62" s="337">
        <v>0</v>
      </c>
      <c r="F62" s="329">
        <v>0</v>
      </c>
      <c r="G62" s="114">
        <f>C62+E62+F62</f>
        <v>0.01</v>
      </c>
      <c r="H62" s="335">
        <f>'Contributions to LCOE'!C78</f>
        <v>0</v>
      </c>
      <c r="I62" s="96"/>
      <c r="J62" s="287"/>
      <c r="K62" s="287"/>
      <c r="L62" s="308" t="str">
        <f t="shared" si="9"/>
        <v/>
      </c>
      <c r="M62" s="234">
        <f t="shared" si="10"/>
        <v>0</v>
      </c>
      <c r="N62" s="234">
        <f t="shared" si="10"/>
        <v>0</v>
      </c>
    </row>
    <row r="63" spans="1:15" s="153" customFormat="1" x14ac:dyDescent="0.2">
      <c r="A63" s="143"/>
      <c r="B63" s="146" t="s">
        <v>115</v>
      </c>
      <c r="C63" s="114">
        <f>VLOOKUP(B63, input_data, MATCH($C$21, INDEX(input_data,2,),0),FALSE)</f>
        <v>0.01</v>
      </c>
      <c r="D63" s="319"/>
      <c r="E63" s="337">
        <v>0</v>
      </c>
      <c r="F63" s="329">
        <v>0</v>
      </c>
      <c r="G63" s="114">
        <f>C63+E63+F63</f>
        <v>0.01</v>
      </c>
      <c r="H63" s="335">
        <f>'Contributions to LCOE'!C80</f>
        <v>0</v>
      </c>
      <c r="I63" s="96"/>
      <c r="J63" s="287"/>
      <c r="K63" s="287"/>
      <c r="L63" s="308" t="str">
        <f t="shared" si="9"/>
        <v/>
      </c>
      <c r="M63" s="234">
        <f t="shared" ref="M63" si="11">IF(AND(E63&lt;&gt;0, ISBLANK(J63)), 1, 0)</f>
        <v>0</v>
      </c>
      <c r="N63" s="234">
        <f t="shared" ref="N63" si="12">IF(AND(F63&lt;&gt;0, ISBLANK(K63)), 1, 0)</f>
        <v>0</v>
      </c>
    </row>
    <row r="64" spans="1:15" s="153" customFormat="1" ht="13.5" thickBot="1" x14ac:dyDescent="0.25">
      <c r="B64" s="146" t="s">
        <v>52</v>
      </c>
      <c r="C64" s="114">
        <f>VLOOKUP(B64, input_data, MATCH($C$21, INDEX(input_data,2,),0),FALSE)</f>
        <v>1.9E-2</v>
      </c>
      <c r="D64" s="319"/>
      <c r="E64" s="337">
        <v>0</v>
      </c>
      <c r="F64" s="329">
        <v>0</v>
      </c>
      <c r="G64" s="114">
        <f>C64+E64+F64</f>
        <v>1.9E-2</v>
      </c>
      <c r="H64" s="335">
        <f>'Contributions to LCOE'!C80</f>
        <v>0</v>
      </c>
      <c r="I64" s="96"/>
      <c r="J64" s="287"/>
      <c r="K64" s="287"/>
      <c r="L64" s="308" t="str">
        <f t="shared" si="9"/>
        <v/>
      </c>
      <c r="M64" s="234">
        <f t="shared" si="10"/>
        <v>0</v>
      </c>
      <c r="N64" s="234">
        <f t="shared" si="10"/>
        <v>0</v>
      </c>
    </row>
    <row r="65" spans="2:26" s="97" customFormat="1" ht="13.5" thickBot="1" x14ac:dyDescent="0.25">
      <c r="B65" s="104" t="s">
        <v>36</v>
      </c>
      <c r="C65" s="105">
        <f>C58*C60*(1-C61)*(1-C62)*(1-C63)*(1-C64)</f>
        <v>4014.3716202939231</v>
      </c>
      <c r="D65" s="319"/>
      <c r="E65" s="294"/>
      <c r="F65" s="295"/>
      <c r="G65" s="105">
        <f>G58*G60*(1-G61)*(1-G62)*(1-G63)*(1-G64)</f>
        <v>4014.3716202939231</v>
      </c>
      <c r="H65" s="336">
        <f>'Contributions to LCOE'!C81</f>
        <v>0</v>
      </c>
      <c r="I65" s="96"/>
      <c r="J65" s="83" t="s">
        <v>83</v>
      </c>
      <c r="K65" s="129">
        <f>(G65-C65)/C65</f>
        <v>0</v>
      </c>
      <c r="L65" s="308" t="str">
        <f t="shared" si="9"/>
        <v/>
      </c>
    </row>
    <row r="66" spans="2:26" s="97" customFormat="1" ht="13.5" thickBot="1" x14ac:dyDescent="0.25">
      <c r="B66" s="116" t="s">
        <v>234</v>
      </c>
      <c r="C66" s="117">
        <f>C65/8760</f>
        <v>0.45826160049017389</v>
      </c>
      <c r="D66" s="319"/>
      <c r="E66" s="296"/>
      <c r="F66" s="297"/>
      <c r="G66" s="118">
        <f>G65/8760</f>
        <v>0.45826160049017389</v>
      </c>
      <c r="H66" s="145"/>
      <c r="I66" s="96"/>
      <c r="J66" s="115"/>
      <c r="K66" s="100"/>
      <c r="L66" s="308" t="str">
        <f t="shared" si="9"/>
        <v/>
      </c>
    </row>
    <row r="67" spans="2:26" s="97" customFormat="1" ht="5.25" customHeight="1" thickBot="1" x14ac:dyDescent="0.25">
      <c r="B67" s="98"/>
      <c r="C67" s="99"/>
      <c r="D67" s="319"/>
      <c r="E67" s="215"/>
      <c r="F67" s="215"/>
      <c r="G67" s="214"/>
      <c r="H67" s="144"/>
      <c r="I67" s="96"/>
      <c r="J67" s="100"/>
      <c r="K67" s="100"/>
    </row>
    <row r="68" spans="2:26" s="97" customFormat="1" ht="13.5" customHeight="1" thickBot="1" x14ac:dyDescent="0.25">
      <c r="B68" s="119" t="str">
        <f>"Decommissioning ("&amp;C29&amp;"000s/MW)"</f>
        <v>Decommissioning (£000s/MW)</v>
      </c>
      <c r="C68" s="141" t="str">
        <f>C29&amp;"000s/MW"</f>
        <v>£000s/MW</v>
      </c>
      <c r="D68" s="319"/>
      <c r="E68" s="331"/>
      <c r="F68" s="331"/>
      <c r="G68" s="144"/>
      <c r="H68" s="144"/>
      <c r="I68" s="96"/>
      <c r="J68" s="100"/>
      <c r="K68" s="100"/>
    </row>
    <row r="69" spans="2:26" s="97" customFormat="1" ht="13.5" thickBot="1" x14ac:dyDescent="0.25">
      <c r="B69" s="104" t="s">
        <v>274</v>
      </c>
      <c r="C69" s="90">
        <f>VLOOKUP(B69, input_data, MATCH($C$21, INDEX(input_data,2,),0),FALSE)*$C$30</f>
        <v>156.5</v>
      </c>
      <c r="D69" s="319"/>
      <c r="E69" s="358">
        <v>0</v>
      </c>
      <c r="F69" s="359">
        <v>0</v>
      </c>
      <c r="G69" s="180">
        <f>$C69*(1+F69)*(1+E69)</f>
        <v>156.5</v>
      </c>
      <c r="H69" s="181">
        <f>'Contributions to LCOE'!C84</f>
        <v>0</v>
      </c>
      <c r="I69" s="96"/>
      <c r="J69" s="287"/>
      <c r="K69" s="120"/>
      <c r="L69" s="308" t="str">
        <f t="shared" ref="L69" si="13">IF(SUM(M69:N69)&gt;0, "Add description", "")</f>
        <v/>
      </c>
      <c r="M69" s="234">
        <f t="shared" ref="M69:N69" si="14">IF(AND(E69&lt;&gt;0, ISBLANK(J69)), 1, 0)</f>
        <v>0</v>
      </c>
      <c r="N69" s="234">
        <f t="shared" si="14"/>
        <v>0</v>
      </c>
    </row>
    <row r="70" spans="2:26" s="97" customFormat="1" ht="6.75" customHeight="1" thickBot="1" x14ac:dyDescent="0.25">
      <c r="B70" s="98"/>
      <c r="C70" s="99"/>
      <c r="D70" s="319"/>
      <c r="E70" s="332"/>
      <c r="F70" s="332"/>
      <c r="G70" s="357"/>
      <c r="H70" s="298"/>
      <c r="I70" s="288"/>
      <c r="J70" s="299"/>
      <c r="K70" s="121"/>
      <c r="L70" s="108"/>
      <c r="M70" s="108"/>
      <c r="N70" s="108"/>
      <c r="O70" s="108"/>
      <c r="P70" s="108"/>
      <c r="Q70" s="108"/>
      <c r="R70" s="108"/>
      <c r="S70" s="108"/>
      <c r="T70" s="108"/>
      <c r="U70" s="108"/>
      <c r="V70" s="108"/>
      <c r="W70" s="108"/>
      <c r="X70" s="108"/>
      <c r="Y70" s="108"/>
      <c r="Z70" s="108"/>
    </row>
    <row r="71" spans="2:26" s="97" customFormat="1" ht="13.5" thickBot="1" x14ac:dyDescent="0.25">
      <c r="B71" s="122" t="s">
        <v>266</v>
      </c>
      <c r="C71" s="300">
        <v>30</v>
      </c>
      <c r="D71" s="319"/>
      <c r="E71" s="301"/>
      <c r="F71" s="302"/>
      <c r="G71" s="300">
        <v>30</v>
      </c>
      <c r="H71" s="288"/>
      <c r="I71" s="288"/>
      <c r="J71" s="287"/>
      <c r="K71" s="120"/>
      <c r="L71" s="108"/>
      <c r="M71" s="108"/>
      <c r="N71" s="108"/>
      <c r="O71" s="108"/>
      <c r="P71" s="108"/>
      <c r="Q71" s="108"/>
      <c r="R71" s="108"/>
      <c r="S71" s="108"/>
      <c r="T71" s="108"/>
      <c r="U71" s="108"/>
      <c r="V71" s="108"/>
      <c r="W71" s="108"/>
      <c r="X71" s="108"/>
      <c r="Y71" s="108"/>
      <c r="Z71" s="108"/>
    </row>
    <row r="72" spans="2:26" s="97" customFormat="1" ht="15.95" customHeight="1" thickBot="1" x14ac:dyDescent="0.25">
      <c r="B72" s="123" t="s">
        <v>47</v>
      </c>
      <c r="C72" s="300">
        <v>1000</v>
      </c>
      <c r="D72" s="319"/>
      <c r="E72" s="106"/>
      <c r="F72" s="107"/>
      <c r="G72" s="300">
        <v>1000</v>
      </c>
      <c r="H72" s="288"/>
      <c r="I72" s="288"/>
      <c r="J72" s="108"/>
      <c r="K72" s="108"/>
      <c r="L72" s="108"/>
      <c r="M72" s="108"/>
      <c r="N72" s="108"/>
      <c r="O72" s="108"/>
      <c r="P72" s="108"/>
      <c r="Q72" s="108"/>
      <c r="R72" s="108"/>
      <c r="S72" s="108"/>
      <c r="T72" s="108"/>
      <c r="U72" s="108"/>
      <c r="V72" s="108"/>
      <c r="W72" s="108"/>
      <c r="X72" s="108"/>
      <c r="Y72" s="108"/>
      <c r="Z72" s="108"/>
    </row>
    <row r="73" spans="2:26" s="82" customFormat="1" ht="5.25" customHeight="1" thickBot="1" x14ac:dyDescent="0.25">
      <c r="B73" s="124"/>
      <c r="C73" s="124"/>
      <c r="D73" s="319"/>
      <c r="E73" s="125"/>
      <c r="F73" s="125"/>
      <c r="G73" s="288"/>
      <c r="H73" s="288"/>
      <c r="I73" s="288"/>
      <c r="J73" s="126"/>
      <c r="K73" s="126"/>
      <c r="L73" s="126"/>
      <c r="M73" s="126"/>
      <c r="N73" s="126"/>
      <c r="O73" s="126"/>
      <c r="P73" s="126"/>
      <c r="Q73" s="126"/>
      <c r="R73" s="126"/>
      <c r="S73" s="126"/>
      <c r="T73" s="126"/>
      <c r="U73" s="126"/>
      <c r="V73" s="126"/>
      <c r="W73" s="126"/>
      <c r="X73" s="126"/>
      <c r="Y73" s="126"/>
      <c r="Z73" s="126"/>
    </row>
    <row r="74" spans="2:26" s="97" customFormat="1" ht="15" customHeight="1" thickBot="1" x14ac:dyDescent="0.25">
      <c r="B74" s="343" t="s">
        <v>239</v>
      </c>
      <c r="C74" s="227">
        <f>VLOOKUP(B74, input_data, MATCH($C$21, INDEX(input_data,2,),0),FALSE)</f>
        <v>5.5E-2</v>
      </c>
      <c r="D74" s="319"/>
      <c r="E74" s="301"/>
      <c r="F74" s="302"/>
      <c r="G74" s="227">
        <f>C74</f>
        <v>5.5E-2</v>
      </c>
      <c r="H74" s="153"/>
      <c r="I74" s="127"/>
      <c r="J74" s="287"/>
      <c r="K74" s="120"/>
      <c r="L74" s="108"/>
      <c r="M74" s="108"/>
      <c r="N74" s="108"/>
      <c r="O74" s="108"/>
      <c r="P74" s="108"/>
      <c r="Q74" s="108"/>
      <c r="R74" s="108"/>
      <c r="S74" s="108"/>
      <c r="T74" s="108"/>
      <c r="U74" s="108"/>
      <c r="V74" s="108"/>
      <c r="W74" s="108"/>
      <c r="X74" s="108"/>
      <c r="Y74" s="108"/>
      <c r="Z74" s="108"/>
    </row>
    <row r="75" spans="2:26" s="153" customFormat="1" ht="5.25" customHeight="1" thickBot="1" x14ac:dyDescent="0.25">
      <c r="D75" s="319"/>
      <c r="I75" s="190"/>
      <c r="N75" s="3"/>
    </row>
    <row r="76" spans="2:26" s="153" customFormat="1" ht="13.5" thickBot="1" x14ac:dyDescent="0.25">
      <c r="B76" s="134" t="str">
        <f>B35</f>
        <v>LCOE for FID 2025 (2020 £/MWh) - base</v>
      </c>
      <c r="C76" s="128">
        <f>'LCOE Base'!$B$43</f>
        <v>38.870262142982007</v>
      </c>
      <c r="D76" s="319"/>
      <c r="E76" s="83" t="str">
        <f>E35</f>
        <v>LCOE for FID 2025 (2020 £/MWh) - innovation</v>
      </c>
      <c r="F76" s="84"/>
      <c r="G76" s="128">
        <f>'LCOE Innovation'!B43</f>
        <v>38.870262142982007</v>
      </c>
      <c r="H76" s="142"/>
      <c r="I76" s="81"/>
      <c r="J76" s="83" t="s">
        <v>61</v>
      </c>
      <c r="K76" s="129">
        <f>(G76-C76)/C76</f>
        <v>0</v>
      </c>
      <c r="N76" s="3"/>
      <c r="O76" s="303"/>
    </row>
    <row r="77" spans="2:26" s="153" customFormat="1" x14ac:dyDescent="0.2">
      <c r="D77" s="319"/>
      <c r="N77" s="3"/>
    </row>
    <row r="78" spans="2:26" s="153" customFormat="1" x14ac:dyDescent="0.2">
      <c r="D78" s="319"/>
      <c r="N78" s="3"/>
    </row>
    <row r="79" spans="2:26" s="153" customFormat="1" x14ac:dyDescent="0.2">
      <c r="D79" s="319"/>
      <c r="N79" s="3"/>
    </row>
    <row r="80" spans="2:26" s="153" customFormat="1" x14ac:dyDescent="0.2">
      <c r="C80" s="304"/>
      <c r="N80" s="3"/>
    </row>
    <row r="81" spans="14:14" s="153" customFormat="1" x14ac:dyDescent="0.2">
      <c r="N81" s="3"/>
    </row>
    <row r="82" spans="14:14" s="153" customFormat="1" x14ac:dyDescent="0.2">
      <c r="N82" s="3"/>
    </row>
    <row r="83" spans="14:14" s="153" customFormat="1" x14ac:dyDescent="0.2">
      <c r="N83" s="3"/>
    </row>
    <row r="84" spans="14:14" s="153" customFormat="1" x14ac:dyDescent="0.2">
      <c r="N84" s="3"/>
    </row>
    <row r="85" spans="14:14" s="153" customFormat="1" x14ac:dyDescent="0.2">
      <c r="N85" s="3"/>
    </row>
    <row r="86" spans="14:14" s="153" customFormat="1" x14ac:dyDescent="0.2">
      <c r="N86" s="3"/>
    </row>
    <row r="87" spans="14:14" s="153" customFormat="1" x14ac:dyDescent="0.2">
      <c r="N87" s="3"/>
    </row>
    <row r="88" spans="14:14" s="153" customFormat="1" x14ac:dyDescent="0.2">
      <c r="N88" s="3"/>
    </row>
  </sheetData>
  <sheetProtection algorithmName="SHA-512" hashValue="lMp5vjEAk1070uQrbKePNkj602Y1EEd8EqbZ5o8UVgzuUOhQnK9jE/FN8ECytiCDFY3UQTNORksUTcTUSZYFMA==" saltValue="iaQoQnTCioNUzrW6kaYzNA==" spinCount="100000" sheet="1" selectLockedCells="1"/>
  <customSheetViews>
    <customSheetView guid="{6EFC19BA-DD6E-47CD-9957-A134841DA95E}" showGridLines="0" hiddenRows="1">
      <selection activeCell="E32" sqref="E32"/>
      <pageMargins left="0.7" right="0.7" top="0.75" bottom="0.75" header="0.3" footer="0.3"/>
      <pageSetup paperSize="9" orientation="portrait" r:id="rId1"/>
    </customSheetView>
  </customSheetViews>
  <mergeCells count="13">
    <mergeCell ref="E37:G37"/>
    <mergeCell ref="B37:C37"/>
    <mergeCell ref="J37:K37"/>
    <mergeCell ref="D9:H9"/>
    <mergeCell ref="D10:H10"/>
    <mergeCell ref="D15:H15"/>
    <mergeCell ref="D17:H17"/>
    <mergeCell ref="D16:H16"/>
    <mergeCell ref="D8:H8"/>
    <mergeCell ref="D11:H11"/>
    <mergeCell ref="D12:H12"/>
    <mergeCell ref="D13:H13"/>
    <mergeCell ref="D14:H14"/>
  </mergeCells>
  <conditionalFormatting sqref="C9:C11">
    <cfRule type="containsText" dxfId="15" priority="21" operator="containsText" text="Yes">
      <formula>NOT(ISERROR(SEARCH("Yes",C9)))</formula>
    </cfRule>
    <cfRule type="containsText" dxfId="14" priority="22" operator="containsText" text="No">
      <formula>NOT(ISERROR(SEARCH("No",C9)))</formula>
    </cfRule>
  </conditionalFormatting>
  <conditionalFormatting sqref="C12:C13">
    <cfRule type="containsText" dxfId="13" priority="17" operator="containsText" text="Yes">
      <formula>NOT(ISERROR(SEARCH("Yes",C12)))</formula>
    </cfRule>
    <cfRule type="containsText" dxfId="12" priority="18" operator="containsText" text="No">
      <formula>NOT(ISERROR(SEARCH("No",C12)))</formula>
    </cfRule>
  </conditionalFormatting>
  <conditionalFormatting sqref="C14:C16">
    <cfRule type="containsText" dxfId="11" priority="15" operator="containsText" text="Yes">
      <formula>NOT(ISERROR(SEARCH("Yes",C14)))</formula>
    </cfRule>
    <cfRule type="containsText" dxfId="10" priority="16" operator="containsText" text="No">
      <formula>NOT(ISERROR(SEARCH("No",C14)))</formula>
    </cfRule>
  </conditionalFormatting>
  <conditionalFormatting sqref="C10:C16">
    <cfRule type="containsText" dxfId="9" priority="10" operator="containsText" text="No change">
      <formula>NOT(ISERROR(SEARCH("No change",C10)))</formula>
    </cfRule>
  </conditionalFormatting>
  <conditionalFormatting sqref="C17">
    <cfRule type="containsText" dxfId="8" priority="8" operator="containsText" text="Yes">
      <formula>NOT(ISERROR(SEARCH("Yes",C17)))</formula>
    </cfRule>
    <cfRule type="containsText" dxfId="7" priority="9" operator="containsText" text="No">
      <formula>NOT(ISERROR(SEARCH("No",C17)))</formula>
    </cfRule>
  </conditionalFormatting>
  <conditionalFormatting sqref="C15:C16">
    <cfRule type="containsText" dxfId="6" priority="2" operator="containsText" text="Yes">
      <formula>NOT(ISERROR(SEARCH("Yes",C15)))</formula>
    </cfRule>
    <cfRule type="containsText" dxfId="5" priority="3" operator="containsText" text="No">
      <formula>NOT(ISERROR(SEARCH("No",C15)))</formula>
    </cfRule>
  </conditionalFormatting>
  <conditionalFormatting sqref="C13">
    <cfRule type="containsText" dxfId="4" priority="6" operator="containsText" text="Yes">
      <formula>NOT(ISERROR(SEARCH("Yes",C13)))</formula>
    </cfRule>
    <cfRule type="containsText" dxfId="3" priority="7" operator="containsText" text="No">
      <formula>NOT(ISERROR(SEARCH("No",C13)))</formula>
    </cfRule>
  </conditionalFormatting>
  <conditionalFormatting sqref="C15:C16">
    <cfRule type="containsText" dxfId="2" priority="4" operator="containsText" text="Yes">
      <formula>NOT(ISERROR(SEARCH("Yes",C15)))</formula>
    </cfRule>
    <cfRule type="containsText" dxfId="1" priority="5" operator="containsText" text="No">
      <formula>NOT(ISERROR(SEARCH("No",C15)))</formula>
    </cfRule>
  </conditionalFormatting>
  <conditionalFormatting sqref="C18">
    <cfRule type="cellIs" dxfId="0" priority="1" operator="equal">
      <formula>"Sheet not complete"</formula>
    </cfRule>
  </conditionalFormatting>
  <dataValidations count="5">
    <dataValidation type="whole" allowBlank="1" showInputMessage="1" showErrorMessage="1" promptTitle="Operational Life" prompt="Insert operational life in whole years. Must be integer between 20 and 30 (inclusive)._x000a_" sqref="I71 I73" xr:uid="{00000000-0002-0000-0500-000001000000}">
      <formula1>20</formula1>
      <formula2>30</formula2>
    </dataValidation>
    <dataValidation type="whole" allowBlank="1" showInputMessage="1" showErrorMessage="1" promptTitle="Wind Farm size" prompt="Insert wind farm size in MW. Must be an integer between 0 and 1000 (inclusive)._x000a_" sqref="I72" xr:uid="{00000000-0002-0000-0500-000002000000}">
      <formula1>0</formula1>
      <formula2>1000</formula2>
    </dataValidation>
    <dataValidation type="list" allowBlank="1" showInputMessage="1" showErrorMessage="1" sqref="C29" xr:uid="{00000000-0002-0000-0500-000004000000}">
      <formula1>$E$29:$E$31</formula1>
    </dataValidation>
    <dataValidation type="list" allowBlank="1" showInputMessage="1" showErrorMessage="1" sqref="P26" xr:uid="{9A2C5D63-3622-4FE6-82C5-C6764724BA47}">
      <formula1>$N$26:$O$26</formula1>
    </dataValidation>
    <dataValidation type="list" allowBlank="1" showInputMessage="1" showErrorMessage="1" sqref="C21" xr:uid="{00000000-0002-0000-0500-000003000000}">
      <formula1>$D$22:$D$26</formula1>
    </dataValidation>
  </dataValidations>
  <pageMargins left="0.70866141732283472" right="0.70866141732283472" top="0.74803149606299213" bottom="0.74803149606299213" header="0.31496062992125984" footer="0.31496062992125984"/>
  <pageSetup paperSize="9" scale="60" orientation="landscape" r:id="rId2"/>
  <ignoredErrors>
    <ignoredError sqref="C59" formula="1"/>
  </ignoredError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2" tint="0.79998168889431442"/>
  </sheetPr>
  <dimension ref="A1:AP48"/>
  <sheetViews>
    <sheetView topLeftCell="A6" zoomScaleNormal="100" workbookViewId="0">
      <selection activeCell="A7" sqref="A7"/>
    </sheetView>
  </sheetViews>
  <sheetFormatPr defaultColWidth="9.140625" defaultRowHeight="12.75" x14ac:dyDescent="0.2"/>
  <cols>
    <col min="1" max="1" width="38.140625" style="54" customWidth="1"/>
    <col min="2" max="2" width="17.7109375" style="15" customWidth="1"/>
    <col min="3" max="3" width="13.42578125" style="16" customWidth="1"/>
    <col min="4" max="4" width="8.42578125" style="16" customWidth="1"/>
    <col min="5" max="5" width="2.42578125" style="16" customWidth="1"/>
    <col min="6" max="6" width="16.140625" style="15" customWidth="1"/>
    <col min="7" max="9" width="16.140625" style="17" customWidth="1"/>
    <col min="10" max="10" width="16.42578125" style="16" customWidth="1"/>
    <col min="11" max="11" width="15.42578125" style="60" customWidth="1"/>
    <col min="12" max="12" width="14.42578125" style="16" customWidth="1"/>
    <col min="13" max="20" width="13.85546875" style="16" bestFit="1" customWidth="1"/>
    <col min="21" max="26" width="13" style="16" bestFit="1" customWidth="1"/>
    <col min="27" max="27" width="12.42578125" style="16" customWidth="1"/>
    <col min="28" max="28" width="12.7109375" style="16" customWidth="1"/>
    <col min="29" max="31" width="13.140625" style="16" customWidth="1"/>
    <col min="32" max="32" width="13.7109375" style="16" bestFit="1" customWidth="1"/>
    <col min="33" max="41" width="12.7109375" style="16" bestFit="1" customWidth="1"/>
    <col min="42" max="42" width="13.85546875" style="16" bestFit="1" customWidth="1"/>
    <col min="43" max="50" width="10.28515625" style="16" bestFit="1" customWidth="1"/>
    <col min="51" max="16384" width="9.140625" style="16"/>
  </cols>
  <sheetData>
    <row r="1" spans="1:42" s="7" customFormat="1" x14ac:dyDescent="0.2">
      <c r="A1" s="5"/>
      <c r="B1" s="6" t="s">
        <v>0</v>
      </c>
      <c r="C1" s="7" t="s">
        <v>1</v>
      </c>
      <c r="F1" s="6" t="s">
        <v>2</v>
      </c>
      <c r="G1" s="8">
        <v>-4</v>
      </c>
      <c r="H1" s="8">
        <v>-3</v>
      </c>
      <c r="I1" s="8">
        <v>-2</v>
      </c>
      <c r="J1" s="8">
        <v>-1</v>
      </c>
      <c r="K1" s="9">
        <v>0</v>
      </c>
      <c r="L1" s="8">
        <v>1</v>
      </c>
      <c r="M1" s="8">
        <v>2</v>
      </c>
      <c r="N1" s="8">
        <v>3</v>
      </c>
      <c r="O1" s="8">
        <v>4</v>
      </c>
      <c r="P1" s="8">
        <v>5</v>
      </c>
      <c r="Q1" s="8">
        <v>6</v>
      </c>
      <c r="R1" s="8">
        <v>7</v>
      </c>
      <c r="S1" s="8">
        <v>8</v>
      </c>
      <c r="T1" s="8">
        <v>9</v>
      </c>
      <c r="U1" s="8">
        <v>10</v>
      </c>
      <c r="V1" s="8">
        <v>11</v>
      </c>
      <c r="W1" s="8">
        <v>12</v>
      </c>
      <c r="X1" s="8">
        <v>13</v>
      </c>
      <c r="Y1" s="8">
        <v>14</v>
      </c>
      <c r="Z1" s="8">
        <v>15</v>
      </c>
      <c r="AA1" s="8">
        <v>16</v>
      </c>
      <c r="AB1" s="8">
        <v>17</v>
      </c>
      <c r="AC1" s="8">
        <v>18</v>
      </c>
      <c r="AD1" s="8">
        <v>19</v>
      </c>
      <c r="AE1" s="8">
        <v>20</v>
      </c>
      <c r="AF1" s="8">
        <v>21</v>
      </c>
      <c r="AG1" s="8">
        <v>22</v>
      </c>
      <c r="AH1" s="8">
        <v>23</v>
      </c>
      <c r="AI1" s="8">
        <v>24</v>
      </c>
      <c r="AJ1" s="8">
        <v>25</v>
      </c>
      <c r="AK1" s="8">
        <v>26</v>
      </c>
      <c r="AL1" s="8">
        <v>27</v>
      </c>
      <c r="AM1" s="8">
        <v>28</v>
      </c>
      <c r="AN1" s="8">
        <v>29</v>
      </c>
      <c r="AO1" s="8">
        <v>30</v>
      </c>
      <c r="AP1" s="8">
        <v>31</v>
      </c>
    </row>
    <row r="2" spans="1:42" s="63" customFormat="1" hidden="1" x14ac:dyDescent="0.2">
      <c r="A2" s="61" t="s">
        <v>45</v>
      </c>
      <c r="B2" s="62"/>
      <c r="F2" s="62"/>
      <c r="G2" s="63">
        <v>0</v>
      </c>
      <c r="H2" s="63">
        <v>0</v>
      </c>
      <c r="I2" s="63">
        <v>0</v>
      </c>
      <c r="J2" s="63">
        <v>0</v>
      </c>
      <c r="K2" s="64">
        <v>0</v>
      </c>
      <c r="L2" s="63">
        <f>IF(L1&lt;=Calculator!$C$71,1,0)</f>
        <v>1</v>
      </c>
      <c r="M2" s="63">
        <f>IF(M1&lt;=Calculator!$C$71,1,0)</f>
        <v>1</v>
      </c>
      <c r="N2" s="63">
        <f>IF(N1&lt;=Calculator!$C$71,1,0)</f>
        <v>1</v>
      </c>
      <c r="O2" s="63">
        <f>IF(O1&lt;=Calculator!$C$71,1,0)</f>
        <v>1</v>
      </c>
      <c r="P2" s="63">
        <f>IF(P1&lt;=Calculator!$C$71,1,0)</f>
        <v>1</v>
      </c>
      <c r="Q2" s="63">
        <f>IF(Q1&lt;=Calculator!$C$71,1,0)</f>
        <v>1</v>
      </c>
      <c r="R2" s="63">
        <f>IF(R1&lt;=Calculator!$C$71,1,0)</f>
        <v>1</v>
      </c>
      <c r="S2" s="63">
        <f>IF(S1&lt;=Calculator!$C$71,1,0)</f>
        <v>1</v>
      </c>
      <c r="T2" s="63">
        <f>IF(T1&lt;=Calculator!$C$71,1,0)</f>
        <v>1</v>
      </c>
      <c r="U2" s="63">
        <f>IF(U1&lt;=Calculator!$C$71,1,0)</f>
        <v>1</v>
      </c>
      <c r="V2" s="63">
        <f>IF(V1&lt;=Calculator!$C$71,1,0)</f>
        <v>1</v>
      </c>
      <c r="W2" s="63">
        <f>IF(W1&lt;=Calculator!$C$71,1,0)</f>
        <v>1</v>
      </c>
      <c r="X2" s="63">
        <f>IF(X1&lt;=Calculator!$C$71,1,0)</f>
        <v>1</v>
      </c>
      <c r="Y2" s="63">
        <f>IF(Y1&lt;=Calculator!$C$71,1,0)</f>
        <v>1</v>
      </c>
      <c r="Z2" s="63">
        <f>IF(Z1&lt;=Calculator!$C$71,1,0)</f>
        <v>1</v>
      </c>
      <c r="AA2" s="63">
        <f>IF(AA1&lt;=Calculator!$C$71,1,0)</f>
        <v>1</v>
      </c>
      <c r="AB2" s="63">
        <f>IF(AB1&lt;=Calculator!$C$71,1,0)</f>
        <v>1</v>
      </c>
      <c r="AC2" s="63">
        <f>IF(AC1&lt;=Calculator!$C$71,1,0)</f>
        <v>1</v>
      </c>
      <c r="AD2" s="63">
        <f>IF(AD1&lt;=Calculator!$C$71,1,0)</f>
        <v>1</v>
      </c>
      <c r="AE2" s="63">
        <f>IF(AE1&lt;=Calculator!$C$71,1,0)</f>
        <v>1</v>
      </c>
      <c r="AF2" s="63">
        <f>IF(AF1&lt;=Calculator!$C$71,1,0)</f>
        <v>1</v>
      </c>
      <c r="AG2" s="63">
        <f>IF(AG1&lt;=Calculator!$C$71,1,0)</f>
        <v>1</v>
      </c>
      <c r="AH2" s="63">
        <f>IF(AH1&lt;=Calculator!$C$71,1,0)</f>
        <v>1</v>
      </c>
      <c r="AI2" s="63">
        <f>IF(AI1&lt;=Calculator!$C$71,1,0)</f>
        <v>1</v>
      </c>
      <c r="AJ2" s="63">
        <f>IF(AJ1&lt;=Calculator!$C$71,1,0)</f>
        <v>1</v>
      </c>
      <c r="AK2" s="63">
        <f>IF(AK1&lt;=Calculator!$C$71,1,0)</f>
        <v>1</v>
      </c>
      <c r="AL2" s="63">
        <f>IF(AL1&lt;=Calculator!$C$71,1,0)</f>
        <v>1</v>
      </c>
      <c r="AM2" s="63">
        <f>IF(AM1&lt;=Calculator!$C$71,1,0)</f>
        <v>1</v>
      </c>
      <c r="AN2" s="63">
        <f>IF(AN1&lt;=Calculator!$C$71,1,0)</f>
        <v>1</v>
      </c>
      <c r="AO2" s="63">
        <f>IF(AO1&lt;=Calculator!$C$71,1,0)</f>
        <v>1</v>
      </c>
      <c r="AP2" s="63">
        <f>IF(AP1&lt;=Calculator!$C$71,1,0)</f>
        <v>0</v>
      </c>
    </row>
    <row r="3" spans="1:42" s="63" customFormat="1" hidden="1" x14ac:dyDescent="0.2">
      <c r="A3" s="61" t="s">
        <v>46</v>
      </c>
      <c r="B3" s="62"/>
      <c r="F3" s="62"/>
      <c r="K3" s="64"/>
      <c r="L3" s="63">
        <v>0</v>
      </c>
      <c r="M3" s="63">
        <f>IF(L2+M2=1,1,0)</f>
        <v>0</v>
      </c>
      <c r="N3" s="63">
        <f t="shared" ref="N3:AN3" si="0">IF(M2+N2=1,1,0)</f>
        <v>0</v>
      </c>
      <c r="O3" s="63">
        <f t="shared" si="0"/>
        <v>0</v>
      </c>
      <c r="P3" s="63">
        <f t="shared" si="0"/>
        <v>0</v>
      </c>
      <c r="Q3" s="63">
        <f t="shared" si="0"/>
        <v>0</v>
      </c>
      <c r="R3" s="63">
        <f t="shared" si="0"/>
        <v>0</v>
      </c>
      <c r="S3" s="63">
        <f t="shared" si="0"/>
        <v>0</v>
      </c>
      <c r="T3" s="63">
        <f t="shared" si="0"/>
        <v>0</v>
      </c>
      <c r="U3" s="63">
        <f t="shared" si="0"/>
        <v>0</v>
      </c>
      <c r="V3" s="63">
        <f t="shared" si="0"/>
        <v>0</v>
      </c>
      <c r="W3" s="63">
        <f t="shared" si="0"/>
        <v>0</v>
      </c>
      <c r="X3" s="63">
        <f t="shared" si="0"/>
        <v>0</v>
      </c>
      <c r="Y3" s="63">
        <f t="shared" si="0"/>
        <v>0</v>
      </c>
      <c r="Z3" s="63">
        <f t="shared" si="0"/>
        <v>0</v>
      </c>
      <c r="AA3" s="63">
        <f t="shared" si="0"/>
        <v>0</v>
      </c>
      <c r="AB3" s="63">
        <f t="shared" si="0"/>
        <v>0</v>
      </c>
      <c r="AC3" s="63">
        <f t="shared" si="0"/>
        <v>0</v>
      </c>
      <c r="AD3" s="63">
        <f t="shared" si="0"/>
        <v>0</v>
      </c>
      <c r="AE3" s="63">
        <f t="shared" si="0"/>
        <v>0</v>
      </c>
      <c r="AF3" s="63">
        <f>IF(AE2+AF2=1,1,0)</f>
        <v>0</v>
      </c>
      <c r="AG3" s="63">
        <f t="shared" si="0"/>
        <v>0</v>
      </c>
      <c r="AH3" s="63">
        <f t="shared" si="0"/>
        <v>0</v>
      </c>
      <c r="AI3" s="63">
        <f t="shared" si="0"/>
        <v>0</v>
      </c>
      <c r="AJ3" s="63">
        <f t="shared" si="0"/>
        <v>0</v>
      </c>
      <c r="AK3" s="63">
        <f t="shared" si="0"/>
        <v>0</v>
      </c>
      <c r="AL3" s="63">
        <f t="shared" si="0"/>
        <v>0</v>
      </c>
      <c r="AM3" s="63">
        <f t="shared" si="0"/>
        <v>0</v>
      </c>
      <c r="AN3" s="63">
        <f t="shared" si="0"/>
        <v>0</v>
      </c>
      <c r="AO3" s="63">
        <f>IF(AN2+AO2=1,1,0)</f>
        <v>0</v>
      </c>
      <c r="AP3" s="63">
        <f>IF(AO2+AP2=1,1,0)</f>
        <v>1</v>
      </c>
    </row>
    <row r="4" spans="1:42" s="12" customFormat="1" x14ac:dyDescent="0.2">
      <c r="A4" s="14"/>
      <c r="B4" s="15"/>
      <c r="C4" s="16"/>
      <c r="D4" s="16"/>
      <c r="F4" s="11"/>
      <c r="G4" s="149"/>
      <c r="H4" s="149"/>
      <c r="I4" s="149"/>
      <c r="J4" s="149"/>
      <c r="K4" s="150"/>
    </row>
    <row r="5" spans="1:42" s="12" customFormat="1" x14ac:dyDescent="0.2">
      <c r="A5" s="10" t="s">
        <v>20</v>
      </c>
      <c r="B5" s="17"/>
      <c r="C5" s="17"/>
      <c r="D5" s="16"/>
      <c r="F5" s="11"/>
      <c r="G5" s="1">
        <f t="shared" ref="G5:L5" si="1">G16/SUM($G$16:$L$16)</f>
        <v>2.386798770541065E-2</v>
      </c>
      <c r="H5" s="1">
        <f t="shared" si="1"/>
        <v>5.3678374822630139E-2</v>
      </c>
      <c r="I5" s="1">
        <f t="shared" si="1"/>
        <v>0.20433250306121115</v>
      </c>
      <c r="J5" s="1">
        <f t="shared" si="1"/>
        <v>0.34893277878636114</v>
      </c>
      <c r="K5" s="1">
        <f t="shared" si="1"/>
        <v>0.35040576609081442</v>
      </c>
      <c r="L5" s="1">
        <f t="shared" si="1"/>
        <v>1.8782589533572584E-2</v>
      </c>
    </row>
    <row r="6" spans="1:42" s="12" customFormat="1" ht="25.5" x14ac:dyDescent="0.2">
      <c r="A6" s="18" t="s">
        <v>43</v>
      </c>
      <c r="B6" s="19"/>
      <c r="C6" s="313">
        <f>Calculator!$C39*1000</f>
        <v>41700</v>
      </c>
      <c r="D6" s="16"/>
      <c r="F6" s="203"/>
      <c r="G6" s="30">
        <v>1</v>
      </c>
      <c r="H6" s="21">
        <v>0</v>
      </c>
      <c r="I6" s="21">
        <v>0</v>
      </c>
      <c r="J6" s="21">
        <v>0</v>
      </c>
      <c r="K6" s="22">
        <v>0</v>
      </c>
      <c r="L6" s="21">
        <v>0</v>
      </c>
    </row>
    <row r="7" spans="1:42" s="12" customFormat="1" ht="12.75" customHeight="1" x14ac:dyDescent="0.2">
      <c r="A7" s="18" t="s">
        <v>44</v>
      </c>
      <c r="B7" s="23"/>
      <c r="C7" s="313">
        <f>Calculator!$C40*1000</f>
        <v>41700</v>
      </c>
      <c r="D7" s="20"/>
      <c r="F7" s="203"/>
      <c r="G7" s="21">
        <v>0</v>
      </c>
      <c r="H7" s="21">
        <v>0.1919016895660326</v>
      </c>
      <c r="I7" s="21">
        <v>0.24092973866691347</v>
      </c>
      <c r="J7" s="21">
        <v>0.26830932687308429</v>
      </c>
      <c r="K7" s="22">
        <v>0.27385924489396984</v>
      </c>
      <c r="L7" s="21">
        <v>2.5000000000000005E-2</v>
      </c>
    </row>
    <row r="8" spans="1:42" s="12" customFormat="1" ht="12.75" customHeight="1" x14ac:dyDescent="0.2">
      <c r="A8" s="18" t="s">
        <v>25</v>
      </c>
      <c r="B8" s="23"/>
      <c r="C8" s="313">
        <f>Calculator!$C47*1000</f>
        <v>37800</v>
      </c>
      <c r="D8" s="20"/>
      <c r="F8" s="203"/>
      <c r="G8" s="21">
        <v>0</v>
      </c>
      <c r="H8" s="21">
        <v>0.25</v>
      </c>
      <c r="I8" s="21">
        <v>0.25</v>
      </c>
      <c r="J8" s="21">
        <v>0.25</v>
      </c>
      <c r="K8" s="22">
        <v>0.25</v>
      </c>
      <c r="L8" s="21">
        <v>0</v>
      </c>
    </row>
    <row r="9" spans="1:42" s="12" customFormat="1" x14ac:dyDescent="0.2">
      <c r="A9" s="18" t="s">
        <v>14</v>
      </c>
      <c r="B9" s="23"/>
      <c r="C9" s="313">
        <f>Calculator!$C41*1000</f>
        <v>811400</v>
      </c>
      <c r="D9" s="20"/>
      <c r="F9" s="203"/>
      <c r="G9" s="21">
        <v>0</v>
      </c>
      <c r="H9" s="21">
        <v>3.1558886299983763E-3</v>
      </c>
      <c r="I9" s="21">
        <v>0.17442881516390984</v>
      </c>
      <c r="J9" s="21">
        <v>0.38403654897026329</v>
      </c>
      <c r="K9" s="22">
        <v>0.41337874723582851</v>
      </c>
      <c r="L9" s="21">
        <v>2.5000000000000001E-2</v>
      </c>
    </row>
    <row r="10" spans="1:42" s="12" customFormat="1" x14ac:dyDescent="0.2">
      <c r="A10" s="18" t="s">
        <v>69</v>
      </c>
      <c r="B10" s="23"/>
      <c r="C10" s="313">
        <f>Calculator!$C42*1000</f>
        <v>70800</v>
      </c>
      <c r="D10" s="20"/>
      <c r="F10" s="203"/>
      <c r="G10" s="21">
        <v>0</v>
      </c>
      <c r="H10" s="21">
        <v>3.1558886299983763E-3</v>
      </c>
      <c r="I10" s="21">
        <v>0.17442881516390984</v>
      </c>
      <c r="J10" s="21">
        <v>0.38403654897026329</v>
      </c>
      <c r="K10" s="22">
        <v>0.41337874723582851</v>
      </c>
      <c r="L10" s="21">
        <v>2.5000000000000001E-2</v>
      </c>
    </row>
    <row r="11" spans="1:42" s="12" customFormat="1" x14ac:dyDescent="0.2">
      <c r="A11" s="18" t="s">
        <v>119</v>
      </c>
      <c r="B11" s="23"/>
      <c r="C11" s="313">
        <f>Calculator!$C43*1000</f>
        <v>178200</v>
      </c>
      <c r="D11" s="20"/>
      <c r="F11" s="203"/>
      <c r="G11" s="21">
        <v>0</v>
      </c>
      <c r="H11" s="21">
        <v>0</v>
      </c>
      <c r="I11" s="21">
        <v>6.6460142658129148E-2</v>
      </c>
      <c r="J11" s="21">
        <v>0.3974912543241248</v>
      </c>
      <c r="K11" s="22">
        <v>0.51104860301774613</v>
      </c>
      <c r="L11" s="21">
        <v>2.5000000000000001E-2</v>
      </c>
    </row>
    <row r="12" spans="1:42" s="12" customFormat="1" x14ac:dyDescent="0.2">
      <c r="A12" s="18" t="s">
        <v>16</v>
      </c>
      <c r="B12" s="24"/>
      <c r="C12" s="313">
        <f>Calculator!$C44*1000</f>
        <v>22700</v>
      </c>
      <c r="D12" s="25"/>
      <c r="F12" s="203"/>
      <c r="G12" s="21">
        <v>0</v>
      </c>
      <c r="H12" s="21">
        <v>1.9365640179612301E-2</v>
      </c>
      <c r="I12" s="21">
        <v>0.95563435982038758</v>
      </c>
      <c r="J12" s="21">
        <v>2.5000000000000001E-2</v>
      </c>
      <c r="K12" s="22">
        <v>0</v>
      </c>
      <c r="L12" s="21">
        <v>0</v>
      </c>
    </row>
    <row r="13" spans="1:42" s="12" customFormat="1" x14ac:dyDescent="0.2">
      <c r="A13" s="18" t="s">
        <v>17</v>
      </c>
      <c r="B13" s="24"/>
      <c r="C13" s="313">
        <f>Calculator!$C45*1000</f>
        <v>131100</v>
      </c>
      <c r="D13" s="25"/>
      <c r="F13" s="203"/>
      <c r="G13" s="21">
        <v>0</v>
      </c>
      <c r="H13" s="21">
        <v>0</v>
      </c>
      <c r="I13" s="21">
        <v>2.5765578531171144E-3</v>
      </c>
      <c r="J13" s="21">
        <v>0.32838802523731137</v>
      </c>
      <c r="K13" s="22">
        <v>0.64403541690957156</v>
      </c>
      <c r="L13" s="21">
        <v>2.5000000000000001E-2</v>
      </c>
    </row>
    <row r="14" spans="1:42" s="12" customFormat="1" x14ac:dyDescent="0.2">
      <c r="A14" s="18" t="s">
        <v>55</v>
      </c>
      <c r="B14" s="24"/>
      <c r="C14" s="313">
        <f>Calculator!$C46*1000</f>
        <v>332300</v>
      </c>
      <c r="D14" s="25"/>
      <c r="F14" s="203"/>
      <c r="G14" s="21">
        <v>0</v>
      </c>
      <c r="H14" s="21">
        <v>0.22</v>
      </c>
      <c r="I14" s="21">
        <v>0.45</v>
      </c>
      <c r="J14" s="21">
        <v>0.33</v>
      </c>
      <c r="K14" s="22">
        <v>0</v>
      </c>
      <c r="L14" s="21">
        <v>0</v>
      </c>
    </row>
    <row r="15" spans="1:42" s="12" customFormat="1" x14ac:dyDescent="0.2">
      <c r="A15" s="18" t="s">
        <v>54</v>
      </c>
      <c r="B15" s="24"/>
      <c r="C15" s="313">
        <f>Calculator!$C48*1000</f>
        <v>79410</v>
      </c>
      <c r="D15" s="25"/>
      <c r="F15" s="203"/>
      <c r="G15" s="21">
        <v>0</v>
      </c>
      <c r="H15" s="21">
        <v>0</v>
      </c>
      <c r="I15" s="21">
        <v>2.5765578531171144E-3</v>
      </c>
      <c r="J15" s="21">
        <v>0.32838802523731137</v>
      </c>
      <c r="K15" s="22">
        <v>0.64403541690957156</v>
      </c>
      <c r="L15" s="21">
        <v>2.5000000000000001E-2</v>
      </c>
    </row>
    <row r="16" spans="1:42" s="28" customFormat="1" x14ac:dyDescent="0.2">
      <c r="A16" s="26" t="s">
        <v>145</v>
      </c>
      <c r="B16" s="242">
        <f>C16*Calculator!$C$72</f>
        <v>1747110000</v>
      </c>
      <c r="C16" s="242">
        <f>SUM(C6:C15)</f>
        <v>1747110</v>
      </c>
      <c r="D16" s="27"/>
      <c r="F16" s="29"/>
      <c r="G16" s="243">
        <f>SUMPRODUCT($C6:$C15,G6:G15)*Calculator!$C$72</f>
        <v>41700000</v>
      </c>
      <c r="H16" s="243">
        <f>SUMPRODUCT($C6:$C15,H6:H15)*Calculator!$C$72</f>
        <v>93782025.436365336</v>
      </c>
      <c r="I16" s="243">
        <f>SUMPRODUCT($C6:$C15,I6:I15)*Calculator!$C$72</f>
        <v>356991359.42327261</v>
      </c>
      <c r="J16" s="243">
        <f>SUMPRODUCT($C6:$C15,J6:J15)*Calculator!$C$72</f>
        <v>609623947.14543939</v>
      </c>
      <c r="K16" s="244">
        <f>SUMPRODUCT($C6:$C15,K6:K15)*Calculator!$C$72</f>
        <v>612197417.99492276</v>
      </c>
      <c r="L16" s="243">
        <f>SUMPRODUCT($C6:$C15,L6:L15)*Calculator!$C$72</f>
        <v>32815250</v>
      </c>
      <c r="M16" s="243">
        <f>SUMPRODUCT($C6:$C15,M6:M15)*Calculator!$C$72</f>
        <v>0</v>
      </c>
      <c r="N16" s="243">
        <f>SUMPRODUCT($C6:$C15,N6:N15)*Calculator!$C$72</f>
        <v>0</v>
      </c>
      <c r="O16" s="243">
        <f>SUMPRODUCT($C6:$C15,O6:O15)*Calculator!$C$72</f>
        <v>0</v>
      </c>
      <c r="P16" s="243">
        <f>SUMPRODUCT($C6:$C15,P6:P15)*Calculator!$C$72</f>
        <v>0</v>
      </c>
      <c r="Q16" s="243">
        <f>SUMPRODUCT($C6:$C15,Q6:Q15)*Calculator!$C$72</f>
        <v>0</v>
      </c>
      <c r="R16" s="243">
        <f>SUMPRODUCT($C6:$C15,R6:R15)*Calculator!$C$72</f>
        <v>0</v>
      </c>
      <c r="S16" s="243">
        <f>SUMPRODUCT($C6:$C15,S6:S15)*Calculator!$C$72</f>
        <v>0</v>
      </c>
      <c r="T16" s="243">
        <f>SUMPRODUCT($C6:$C15,T6:T15)*Calculator!$C$72</f>
        <v>0</v>
      </c>
      <c r="U16" s="243">
        <f>SUMPRODUCT($C6:$C15,U6:U15)*Calculator!$C$72</f>
        <v>0</v>
      </c>
      <c r="V16" s="243">
        <f>SUMPRODUCT($C6:$C15,V6:V15)*Calculator!$C$72</f>
        <v>0</v>
      </c>
      <c r="W16" s="243">
        <f>SUMPRODUCT($C6:$C15,W6:W15)*Calculator!$C$72</f>
        <v>0</v>
      </c>
      <c r="X16" s="243">
        <f>SUMPRODUCT($C6:$C15,X6:X15)*Calculator!$C$72</f>
        <v>0</v>
      </c>
      <c r="Y16" s="243">
        <f>SUMPRODUCT($C6:$C15,Y6:Y15)*Calculator!$C$72</f>
        <v>0</v>
      </c>
      <c r="Z16" s="243">
        <f>SUMPRODUCT($C6:$C15,Z6:Z15)*Calculator!$C$72</f>
        <v>0</v>
      </c>
      <c r="AA16" s="243">
        <f>SUMPRODUCT($C6:$C15,AA6:AA15)*Calculator!$C$72</f>
        <v>0</v>
      </c>
      <c r="AB16" s="243">
        <f>SUMPRODUCT($C6:$C15,AB6:AB15)*Calculator!$C$72</f>
        <v>0</v>
      </c>
      <c r="AC16" s="243">
        <f>SUMPRODUCT($C6:$C15,AC6:AC15)*Calculator!$C$72</f>
        <v>0</v>
      </c>
      <c r="AD16" s="243">
        <f>SUMPRODUCT($C6:$C15,AD6:AD15)*Calculator!$C$72</f>
        <v>0</v>
      </c>
      <c r="AE16" s="243">
        <f>SUMPRODUCT($C6:$C15,AE6:AE15)*Calculator!$C$72</f>
        <v>0</v>
      </c>
      <c r="AF16" s="243">
        <f>SUMPRODUCT($C6:$C15,AF6:AF15)*Calculator!$C$72</f>
        <v>0</v>
      </c>
      <c r="AG16" s="243">
        <f>SUMPRODUCT($C6:$C15,AG6:AG15)*Calculator!$C$72</f>
        <v>0</v>
      </c>
      <c r="AH16" s="243">
        <f>SUMPRODUCT($C6:$C15,AH6:AH15)*Calculator!$C$72</f>
        <v>0</v>
      </c>
      <c r="AI16" s="243">
        <f>SUMPRODUCT($C6:$C15,AI6:AI15)*Calculator!$C$72</f>
        <v>0</v>
      </c>
      <c r="AJ16" s="243">
        <f>SUMPRODUCT($C6:$C15,AJ6:AJ15)*Calculator!$C$72</f>
        <v>0</v>
      </c>
      <c r="AK16" s="243">
        <f>SUMPRODUCT($C6:$C15,AK6:AK15)*Calculator!$C$72</f>
        <v>0</v>
      </c>
      <c r="AL16" s="243">
        <f>SUMPRODUCT($C6:$C15,AL6:AL15)*Calculator!$C$72</f>
        <v>0</v>
      </c>
      <c r="AM16" s="243">
        <f>SUMPRODUCT($C6:$C15,AM6:AM15)*Calculator!$C$72</f>
        <v>0</v>
      </c>
      <c r="AN16" s="243">
        <f>SUMPRODUCT($C6:$C15,AN6:AN15)*Calculator!$C$72</f>
        <v>0</v>
      </c>
      <c r="AO16" s="243">
        <f>SUMPRODUCT($C6:$C15,AO6:AO15)*Calculator!$C$72</f>
        <v>0</v>
      </c>
      <c r="AP16" s="243">
        <f>SUMPRODUCT($C6:$C15,AP6:AP15)*Calculator!$C$72</f>
        <v>0</v>
      </c>
    </row>
    <row r="17" spans="1:42" s="12" customFormat="1" x14ac:dyDescent="0.2">
      <c r="A17" s="14"/>
      <c r="B17" s="24"/>
      <c r="C17" s="24"/>
      <c r="D17" s="25"/>
      <c r="F17" s="32"/>
      <c r="G17" s="21"/>
      <c r="H17" s="21"/>
      <c r="I17" s="21"/>
      <c r="J17" s="21"/>
      <c r="K17" s="67"/>
      <c r="L17" s="21"/>
    </row>
    <row r="18" spans="1:42" s="12" customFormat="1" x14ac:dyDescent="0.2">
      <c r="A18" s="10" t="s">
        <v>21</v>
      </c>
      <c r="B18" s="24"/>
      <c r="C18" s="24"/>
      <c r="D18" s="25"/>
      <c r="F18" s="32"/>
      <c r="G18" s="30"/>
      <c r="H18" s="30"/>
      <c r="I18" s="30"/>
      <c r="J18" s="30"/>
      <c r="K18" s="31"/>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row>
    <row r="19" spans="1:42" s="12" customFormat="1" x14ac:dyDescent="0.2">
      <c r="A19" s="18" t="s">
        <v>30</v>
      </c>
      <c r="B19" s="24"/>
      <c r="C19" s="313">
        <f>Calculator!$C52*1000</f>
        <v>11300</v>
      </c>
      <c r="D19" s="20"/>
      <c r="F19" s="32"/>
      <c r="G19" s="21">
        <f t="shared" ref="G19:K21" si="2">G$2</f>
        <v>0</v>
      </c>
      <c r="H19" s="21">
        <f t="shared" si="2"/>
        <v>0</v>
      </c>
      <c r="I19" s="21">
        <f t="shared" si="2"/>
        <v>0</v>
      </c>
      <c r="J19" s="21">
        <f t="shared" si="2"/>
        <v>0</v>
      </c>
      <c r="K19" s="22">
        <f t="shared" si="2"/>
        <v>0</v>
      </c>
      <c r="L19" s="21">
        <f>L$2</f>
        <v>1</v>
      </c>
      <c r="M19" s="21">
        <f t="shared" ref="M19:AP21" si="3">M$2</f>
        <v>1</v>
      </c>
      <c r="N19" s="21">
        <f t="shared" si="3"/>
        <v>1</v>
      </c>
      <c r="O19" s="21">
        <f t="shared" si="3"/>
        <v>1</v>
      </c>
      <c r="P19" s="21">
        <f t="shared" si="3"/>
        <v>1</v>
      </c>
      <c r="Q19" s="21">
        <f t="shared" si="3"/>
        <v>1</v>
      </c>
      <c r="R19" s="21">
        <f t="shared" si="3"/>
        <v>1</v>
      </c>
      <c r="S19" s="21">
        <f t="shared" si="3"/>
        <v>1</v>
      </c>
      <c r="T19" s="21">
        <f t="shared" si="3"/>
        <v>1</v>
      </c>
      <c r="U19" s="21">
        <f t="shared" si="3"/>
        <v>1</v>
      </c>
      <c r="V19" s="21">
        <f t="shared" si="3"/>
        <v>1</v>
      </c>
      <c r="W19" s="21">
        <f t="shared" si="3"/>
        <v>1</v>
      </c>
      <c r="X19" s="21">
        <f t="shared" si="3"/>
        <v>1</v>
      </c>
      <c r="Y19" s="21">
        <f t="shared" si="3"/>
        <v>1</v>
      </c>
      <c r="Z19" s="21">
        <f t="shared" si="3"/>
        <v>1</v>
      </c>
      <c r="AA19" s="21">
        <f t="shared" si="3"/>
        <v>1</v>
      </c>
      <c r="AB19" s="21">
        <f t="shared" si="3"/>
        <v>1</v>
      </c>
      <c r="AC19" s="21">
        <f t="shared" si="3"/>
        <v>1</v>
      </c>
      <c r="AD19" s="21">
        <f t="shared" si="3"/>
        <v>1</v>
      </c>
      <c r="AE19" s="21">
        <f t="shared" si="3"/>
        <v>1</v>
      </c>
      <c r="AF19" s="21">
        <f t="shared" si="3"/>
        <v>1</v>
      </c>
      <c r="AG19" s="21">
        <f t="shared" si="3"/>
        <v>1</v>
      </c>
      <c r="AH19" s="21">
        <f t="shared" si="3"/>
        <v>1</v>
      </c>
      <c r="AI19" s="21">
        <f t="shared" si="3"/>
        <v>1</v>
      </c>
      <c r="AJ19" s="21">
        <f t="shared" si="3"/>
        <v>1</v>
      </c>
      <c r="AK19" s="21">
        <f t="shared" si="3"/>
        <v>1</v>
      </c>
      <c r="AL19" s="21">
        <f t="shared" si="3"/>
        <v>1</v>
      </c>
      <c r="AM19" s="21">
        <f t="shared" si="3"/>
        <v>1</v>
      </c>
      <c r="AN19" s="21">
        <f t="shared" si="3"/>
        <v>1</v>
      </c>
      <c r="AO19" s="21">
        <f t="shared" si="3"/>
        <v>1</v>
      </c>
      <c r="AP19" s="21">
        <f t="shared" si="3"/>
        <v>0</v>
      </c>
    </row>
    <row r="20" spans="1:42" s="12" customFormat="1" x14ac:dyDescent="0.2">
      <c r="A20" s="18" t="s">
        <v>26</v>
      </c>
      <c r="B20" s="24"/>
      <c r="C20" s="313">
        <f>Calculator!$C53*1000</f>
        <v>3500</v>
      </c>
      <c r="D20" s="20"/>
      <c r="F20" s="32"/>
      <c r="G20" s="21">
        <f t="shared" si="2"/>
        <v>0</v>
      </c>
      <c r="H20" s="21">
        <f t="shared" si="2"/>
        <v>0</v>
      </c>
      <c r="I20" s="21">
        <f t="shared" si="2"/>
        <v>0</v>
      </c>
      <c r="J20" s="21">
        <f t="shared" si="2"/>
        <v>0</v>
      </c>
      <c r="K20" s="22">
        <f t="shared" si="2"/>
        <v>0</v>
      </c>
      <c r="L20" s="21">
        <f>L$2</f>
        <v>1</v>
      </c>
      <c r="M20" s="21">
        <f t="shared" si="3"/>
        <v>1</v>
      </c>
      <c r="N20" s="21">
        <f t="shared" si="3"/>
        <v>1</v>
      </c>
      <c r="O20" s="21">
        <f t="shared" si="3"/>
        <v>1</v>
      </c>
      <c r="P20" s="21">
        <f t="shared" si="3"/>
        <v>1</v>
      </c>
      <c r="Q20" s="21">
        <f t="shared" si="3"/>
        <v>1</v>
      </c>
      <c r="R20" s="21">
        <f t="shared" si="3"/>
        <v>1</v>
      </c>
      <c r="S20" s="21">
        <f t="shared" si="3"/>
        <v>1</v>
      </c>
      <c r="T20" s="21">
        <f t="shared" si="3"/>
        <v>1</v>
      </c>
      <c r="U20" s="21">
        <f t="shared" si="3"/>
        <v>1</v>
      </c>
      <c r="V20" s="21">
        <f t="shared" si="3"/>
        <v>1</v>
      </c>
      <c r="W20" s="21">
        <f t="shared" si="3"/>
        <v>1</v>
      </c>
      <c r="X20" s="21">
        <f t="shared" si="3"/>
        <v>1</v>
      </c>
      <c r="Y20" s="21">
        <f t="shared" si="3"/>
        <v>1</v>
      </c>
      <c r="Z20" s="21">
        <f t="shared" si="3"/>
        <v>1</v>
      </c>
      <c r="AA20" s="21">
        <f t="shared" si="3"/>
        <v>1</v>
      </c>
      <c r="AB20" s="21">
        <f t="shared" si="3"/>
        <v>1</v>
      </c>
      <c r="AC20" s="21">
        <f t="shared" si="3"/>
        <v>1</v>
      </c>
      <c r="AD20" s="21">
        <f t="shared" si="3"/>
        <v>1</v>
      </c>
      <c r="AE20" s="21">
        <f t="shared" si="3"/>
        <v>1</v>
      </c>
      <c r="AF20" s="21">
        <f t="shared" si="3"/>
        <v>1</v>
      </c>
      <c r="AG20" s="21">
        <f t="shared" si="3"/>
        <v>1</v>
      </c>
      <c r="AH20" s="21">
        <f t="shared" si="3"/>
        <v>1</v>
      </c>
      <c r="AI20" s="21">
        <f t="shared" si="3"/>
        <v>1</v>
      </c>
      <c r="AJ20" s="21">
        <f t="shared" si="3"/>
        <v>1</v>
      </c>
      <c r="AK20" s="21">
        <f t="shared" si="3"/>
        <v>1</v>
      </c>
      <c r="AL20" s="21">
        <f t="shared" si="3"/>
        <v>1</v>
      </c>
      <c r="AM20" s="21">
        <f t="shared" si="3"/>
        <v>1</v>
      </c>
      <c r="AN20" s="21">
        <f t="shared" si="3"/>
        <v>1</v>
      </c>
      <c r="AO20" s="21">
        <f t="shared" si="3"/>
        <v>1</v>
      </c>
      <c r="AP20" s="21">
        <f t="shared" si="3"/>
        <v>0</v>
      </c>
    </row>
    <row r="21" spans="1:42" s="12" customFormat="1" x14ac:dyDescent="0.2">
      <c r="A21" s="18" t="s">
        <v>18</v>
      </c>
      <c r="B21" s="24"/>
      <c r="C21" s="313">
        <f>Calculator!$C54*1000</f>
        <v>12300</v>
      </c>
      <c r="D21" s="20"/>
      <c r="F21" s="32"/>
      <c r="G21" s="21">
        <f t="shared" si="2"/>
        <v>0</v>
      </c>
      <c r="H21" s="21">
        <f t="shared" si="2"/>
        <v>0</v>
      </c>
      <c r="I21" s="21">
        <f t="shared" si="2"/>
        <v>0</v>
      </c>
      <c r="J21" s="21">
        <f t="shared" si="2"/>
        <v>0</v>
      </c>
      <c r="K21" s="33">
        <f t="shared" si="2"/>
        <v>0</v>
      </c>
      <c r="L21" s="21">
        <f>L$2</f>
        <v>1</v>
      </c>
      <c r="M21" s="21">
        <f t="shared" si="3"/>
        <v>1</v>
      </c>
      <c r="N21" s="21">
        <f t="shared" si="3"/>
        <v>1</v>
      </c>
      <c r="O21" s="21">
        <f t="shared" si="3"/>
        <v>1</v>
      </c>
      <c r="P21" s="21">
        <f t="shared" si="3"/>
        <v>1</v>
      </c>
      <c r="Q21" s="21">
        <f t="shared" si="3"/>
        <v>1</v>
      </c>
      <c r="R21" s="21">
        <f t="shared" si="3"/>
        <v>1</v>
      </c>
      <c r="S21" s="21">
        <f t="shared" si="3"/>
        <v>1</v>
      </c>
      <c r="T21" s="21">
        <f t="shared" si="3"/>
        <v>1</v>
      </c>
      <c r="U21" s="21">
        <f t="shared" si="3"/>
        <v>1</v>
      </c>
      <c r="V21" s="21">
        <f t="shared" si="3"/>
        <v>1</v>
      </c>
      <c r="W21" s="21">
        <f t="shared" si="3"/>
        <v>1</v>
      </c>
      <c r="X21" s="21">
        <f t="shared" si="3"/>
        <v>1</v>
      </c>
      <c r="Y21" s="21">
        <f t="shared" si="3"/>
        <v>1</v>
      </c>
      <c r="Z21" s="21">
        <f t="shared" si="3"/>
        <v>1</v>
      </c>
      <c r="AA21" s="21">
        <f t="shared" si="3"/>
        <v>1</v>
      </c>
      <c r="AB21" s="21">
        <f t="shared" si="3"/>
        <v>1</v>
      </c>
      <c r="AC21" s="21">
        <f t="shared" si="3"/>
        <v>1</v>
      </c>
      <c r="AD21" s="21">
        <f t="shared" si="3"/>
        <v>1</v>
      </c>
      <c r="AE21" s="21">
        <f t="shared" si="3"/>
        <v>1</v>
      </c>
      <c r="AF21" s="21">
        <f t="shared" si="3"/>
        <v>1</v>
      </c>
      <c r="AG21" s="21">
        <f t="shared" si="3"/>
        <v>1</v>
      </c>
      <c r="AH21" s="21">
        <f t="shared" si="3"/>
        <v>1</v>
      </c>
      <c r="AI21" s="21">
        <f t="shared" si="3"/>
        <v>1</v>
      </c>
      <c r="AJ21" s="21">
        <f t="shared" si="3"/>
        <v>1</v>
      </c>
      <c r="AK21" s="21">
        <f t="shared" si="3"/>
        <v>1</v>
      </c>
      <c r="AL21" s="21">
        <f t="shared" si="3"/>
        <v>1</v>
      </c>
      <c r="AM21" s="21">
        <f t="shared" si="3"/>
        <v>1</v>
      </c>
      <c r="AN21" s="21">
        <f t="shared" si="3"/>
        <v>1</v>
      </c>
      <c r="AO21" s="21">
        <f t="shared" si="3"/>
        <v>1</v>
      </c>
      <c r="AP21" s="21">
        <f t="shared" si="3"/>
        <v>0</v>
      </c>
    </row>
    <row r="22" spans="1:42" s="28" customFormat="1" x14ac:dyDescent="0.2">
      <c r="A22" s="26" t="s">
        <v>146</v>
      </c>
      <c r="B22" s="242">
        <f>C22*Calculator!$C$72</f>
        <v>27100000</v>
      </c>
      <c r="C22" s="242">
        <f>SUM(C19:C21)</f>
        <v>27100</v>
      </c>
      <c r="D22" s="27"/>
      <c r="F22" s="34"/>
      <c r="G22" s="243">
        <f>(SUMPRODUCT($C19:$C19,G19:G19)+SUMPRODUCT($C$20:$C$21,G20:G21))*Calculator!$C$72</f>
        <v>0</v>
      </c>
      <c r="H22" s="243">
        <f>(SUMPRODUCT($C19:$C19,H19:H19)+SUMPRODUCT($C$20:$C$21,H20:H21))*Calculator!$C$72</f>
        <v>0</v>
      </c>
      <c r="I22" s="243">
        <f>(SUMPRODUCT($C19:$C19,I19:I19)+SUMPRODUCT($C$20:$C$21,I20:I21))*Calculator!$C$72</f>
        <v>0</v>
      </c>
      <c r="J22" s="243">
        <f>(SUMPRODUCT($C19:$C19,J19:J19)+SUMPRODUCT($C$20:$C$21,J20:J21))*Calculator!$C$72</f>
        <v>0</v>
      </c>
      <c r="K22" s="243">
        <f>(SUMPRODUCT($C19:$C19,K19:K19)+SUMPRODUCT($C$20:$C$21,K20:K21))*Calculator!$C$72</f>
        <v>0</v>
      </c>
      <c r="L22" s="243">
        <f>(SUMPRODUCT($C19:$C19,L19:L19)+SUMPRODUCT($C$20:$C$21,L20:L21))*Calculator!$C$72</f>
        <v>27100000</v>
      </c>
      <c r="M22" s="243">
        <f>(SUMPRODUCT($C19:$C19,M19:M19)+SUMPRODUCT($C$20:$C$21,M20:M21))*Calculator!$C$72</f>
        <v>27100000</v>
      </c>
      <c r="N22" s="243">
        <f>(SUMPRODUCT($C19:$C19,N19:N19)+SUMPRODUCT($C$20:$C$21,N20:N21))*Calculator!$C$72</f>
        <v>27100000</v>
      </c>
      <c r="O22" s="243">
        <f>(SUMPRODUCT($C19:$C19,O19:O19)+SUMPRODUCT($C$20:$C$21,O20:O21))*Calculator!$C$72</f>
        <v>27100000</v>
      </c>
      <c r="P22" s="243">
        <f>(SUMPRODUCT($C19:$C19,P19:P19)+SUMPRODUCT($C$20:$C$21,P20:P21))*Calculator!$C$72</f>
        <v>27100000</v>
      </c>
      <c r="Q22" s="243">
        <f>(SUMPRODUCT($C19:$C19,Q19:Q19)+SUMPRODUCT($C$20:$C$21,Q20:Q21))*Calculator!$C$72</f>
        <v>27100000</v>
      </c>
      <c r="R22" s="243">
        <f>(SUMPRODUCT($C19:$C19,R19:R19)+SUMPRODUCT($C$20:$C$21,R20:R21))*Calculator!$C$72</f>
        <v>27100000</v>
      </c>
      <c r="S22" s="243">
        <f>(SUMPRODUCT($C19:$C19,S19:S19)+SUMPRODUCT($C$20:$C$21,S20:S21))*Calculator!$C$72</f>
        <v>27100000</v>
      </c>
      <c r="T22" s="243">
        <f>(SUMPRODUCT($C19:$C19,T19:T19)+SUMPRODUCT($C$20:$C$21,T20:T21))*Calculator!$C$72</f>
        <v>27100000</v>
      </c>
      <c r="U22" s="243">
        <f>(SUMPRODUCT($C19:$C19,U19:U19)+SUMPRODUCT($C$20:$C$21,U20:U21))*Calculator!$C$72</f>
        <v>27100000</v>
      </c>
      <c r="V22" s="243">
        <f>(SUMPRODUCT($C19:$C19,V19:V19)+SUMPRODUCT($C$20:$C$21,V20:V21))*Calculator!$C$72</f>
        <v>27100000</v>
      </c>
      <c r="W22" s="243">
        <f>(SUMPRODUCT($C19:$C19,W19:W19)+SUMPRODUCT($C$20:$C$21,W20:W21))*Calculator!$C$72</f>
        <v>27100000</v>
      </c>
      <c r="X22" s="243">
        <f>(SUMPRODUCT($C19:$C19,X19:X19)+SUMPRODUCT($C$20:$C$21,X20:X21))*Calculator!$C$72</f>
        <v>27100000</v>
      </c>
      <c r="Y22" s="243">
        <f>(SUMPRODUCT($C19:$C19,Y19:Y19)+SUMPRODUCT($C$20:$C$21,Y20:Y21))*Calculator!$C$72</f>
        <v>27100000</v>
      </c>
      <c r="Z22" s="243">
        <f>(SUMPRODUCT($C19:$C19,Z19:Z19)+SUMPRODUCT($C$20:$C$21,Z20:Z21))*Calculator!$C$72</f>
        <v>27100000</v>
      </c>
      <c r="AA22" s="243">
        <f>(SUMPRODUCT($C19:$C19,AA19:AA19)+SUMPRODUCT($C$20:$C$21,AA20:AA21))*Calculator!$C$72</f>
        <v>27100000</v>
      </c>
      <c r="AB22" s="243">
        <f>(SUMPRODUCT($C19:$C19,AB19:AB19)+SUMPRODUCT($C$20:$C$21,AB20:AB21))*Calculator!$C$72</f>
        <v>27100000</v>
      </c>
      <c r="AC22" s="243">
        <f>(SUMPRODUCT($C19:$C19,AC19:AC19)+SUMPRODUCT($C$20:$C$21,AC20:AC21))*Calculator!$C$72</f>
        <v>27100000</v>
      </c>
      <c r="AD22" s="243">
        <f>(SUMPRODUCT($C19:$C19,AD19:AD19)+SUMPRODUCT($C$20:$C$21,AD20:AD21))*Calculator!$C$72</f>
        <v>27100000</v>
      </c>
      <c r="AE22" s="243">
        <f>(SUMPRODUCT($C19:$C19,AE19:AE19)+SUMPRODUCT($C$20:$C$21,AE20:AE21))*Calculator!$C$72</f>
        <v>27100000</v>
      </c>
      <c r="AF22" s="243">
        <f>(SUMPRODUCT($C19:$C19,AF19:AF19)+SUMPRODUCT($C$20:$C$21,AF20:AF21))*Calculator!$C$72</f>
        <v>27100000</v>
      </c>
      <c r="AG22" s="243">
        <f>(SUMPRODUCT($C19:$C19,AG19:AG19)+SUMPRODUCT($C$20:$C$21,AG20:AG21))*Calculator!$C$72</f>
        <v>27100000</v>
      </c>
      <c r="AH22" s="243">
        <f>(SUMPRODUCT($C19:$C19,AH19:AH19)+SUMPRODUCT($C$20:$C$21,AH20:AH21))*Calculator!$C$72</f>
        <v>27100000</v>
      </c>
      <c r="AI22" s="243">
        <f>(SUMPRODUCT($C19:$C19,AI19:AI19)+SUMPRODUCT($C$20:$C$21,AI20:AI21))*Calculator!$C$72</f>
        <v>27100000</v>
      </c>
      <c r="AJ22" s="243">
        <f>(SUMPRODUCT($C19:$C19,AJ19:AJ19)+SUMPRODUCT($C$20:$C$21,AJ20:AJ21))*Calculator!$C$72</f>
        <v>27100000</v>
      </c>
      <c r="AK22" s="243">
        <f>(SUMPRODUCT($C19:$C19,AK19:AK19)+SUMPRODUCT($C$20:$C$21,AK20:AK21))*Calculator!$C$72</f>
        <v>27100000</v>
      </c>
      <c r="AL22" s="243">
        <f>(SUMPRODUCT($C19:$C19,AL19:AL19)+SUMPRODUCT($C$20:$C$21,AL20:AL21))*Calculator!$C$72</f>
        <v>27100000</v>
      </c>
      <c r="AM22" s="243">
        <f>(SUMPRODUCT($C19:$C19,AM19:AM19)+SUMPRODUCT($C$20:$C$21,AM20:AM21))*Calculator!$C$72</f>
        <v>27100000</v>
      </c>
      <c r="AN22" s="243">
        <f>(SUMPRODUCT($C19:$C19,AN19:AN19)+SUMPRODUCT($C$20:$C$21,AN20:AN21))*Calculator!$C$72</f>
        <v>27100000</v>
      </c>
      <c r="AO22" s="243">
        <f>(SUMPRODUCT($C19:$C19,AO19:AO19)+SUMPRODUCT($C$20:$C$21,AO20:AO21))*Calculator!$C$72</f>
        <v>27100000</v>
      </c>
      <c r="AP22" s="243">
        <f>(SUMPRODUCT($C19:$C19,AP19:AP19)+SUMPRODUCT($C$20:$C$21,AP20:AP21))*Calculator!$C$72</f>
        <v>0</v>
      </c>
    </row>
    <row r="23" spans="1:42" s="12" customFormat="1" x14ac:dyDescent="0.2">
      <c r="A23" s="14"/>
      <c r="B23" s="35"/>
      <c r="C23" s="35"/>
      <c r="D23" s="36"/>
      <c r="F23" s="11"/>
      <c r="K23" s="13"/>
    </row>
    <row r="24" spans="1:42" s="12" customFormat="1" x14ac:dyDescent="0.2">
      <c r="A24" s="10" t="s">
        <v>23</v>
      </c>
      <c r="B24" s="35"/>
      <c r="C24" s="35"/>
      <c r="D24" s="36"/>
      <c r="F24" s="11"/>
      <c r="K24" s="13"/>
    </row>
    <row r="25" spans="1:42" s="12" customFormat="1" hidden="1" x14ac:dyDescent="0.2">
      <c r="A25" s="14" t="s">
        <v>24</v>
      </c>
      <c r="B25" s="35"/>
      <c r="C25" s="35"/>
      <c r="D25" s="36"/>
      <c r="F25" s="11"/>
      <c r="K25" s="13"/>
      <c r="T25" s="21"/>
      <c r="U25" s="21"/>
      <c r="V25" s="21"/>
      <c r="W25" s="21"/>
      <c r="X25" s="21"/>
      <c r="Y25" s="21"/>
      <c r="Z25" s="21"/>
      <c r="AA25" s="21"/>
      <c r="AB25" s="21"/>
      <c r="AC25" s="21"/>
      <c r="AD25" s="21"/>
      <c r="AE25" s="21">
        <f>AE3</f>
        <v>0</v>
      </c>
      <c r="AF25" s="21">
        <f>AF3</f>
        <v>0</v>
      </c>
      <c r="AG25" s="21">
        <f t="shared" ref="AG25:AP25" si="4">AG3</f>
        <v>0</v>
      </c>
      <c r="AH25" s="21">
        <f t="shared" si="4"/>
        <v>0</v>
      </c>
      <c r="AI25" s="21">
        <f t="shared" si="4"/>
        <v>0</v>
      </c>
      <c r="AJ25" s="21">
        <f t="shared" si="4"/>
        <v>0</v>
      </c>
      <c r="AK25" s="21">
        <f t="shared" si="4"/>
        <v>0</v>
      </c>
      <c r="AL25" s="21">
        <f t="shared" si="4"/>
        <v>0</v>
      </c>
      <c r="AM25" s="21">
        <f t="shared" si="4"/>
        <v>0</v>
      </c>
      <c r="AN25" s="21">
        <f t="shared" si="4"/>
        <v>0</v>
      </c>
      <c r="AO25" s="21">
        <f t="shared" si="4"/>
        <v>0</v>
      </c>
      <c r="AP25" s="21">
        <f t="shared" si="4"/>
        <v>1</v>
      </c>
    </row>
    <row r="26" spans="1:42" s="28" customFormat="1" x14ac:dyDescent="0.2">
      <c r="A26" s="26" t="s">
        <v>147</v>
      </c>
      <c r="B26" s="242">
        <f>C26*Calculator!$C$72</f>
        <v>156500000</v>
      </c>
      <c r="C26" s="241">
        <f>Calculator!$C$69*1000</f>
        <v>156500</v>
      </c>
      <c r="D26" s="27"/>
      <c r="F26" s="29"/>
      <c r="G26" s="243">
        <f>$B26*G$25</f>
        <v>0</v>
      </c>
      <c r="H26" s="243">
        <f>$B26*H$25</f>
        <v>0</v>
      </c>
      <c r="I26" s="243">
        <f t="shared" ref="I26:AE26" si="5">$B26*I$25</f>
        <v>0</v>
      </c>
      <c r="J26" s="243">
        <f t="shared" si="5"/>
        <v>0</v>
      </c>
      <c r="K26" s="244">
        <f t="shared" si="5"/>
        <v>0</v>
      </c>
      <c r="L26" s="243">
        <f t="shared" si="5"/>
        <v>0</v>
      </c>
      <c r="M26" s="243">
        <f t="shared" si="5"/>
        <v>0</v>
      </c>
      <c r="N26" s="243">
        <f t="shared" si="5"/>
        <v>0</v>
      </c>
      <c r="O26" s="243">
        <f t="shared" si="5"/>
        <v>0</v>
      </c>
      <c r="P26" s="243">
        <f t="shared" si="5"/>
        <v>0</v>
      </c>
      <c r="Q26" s="243">
        <f t="shared" si="5"/>
        <v>0</v>
      </c>
      <c r="R26" s="243">
        <f t="shared" si="5"/>
        <v>0</v>
      </c>
      <c r="S26" s="243">
        <f t="shared" si="5"/>
        <v>0</v>
      </c>
      <c r="T26" s="243">
        <f t="shared" si="5"/>
        <v>0</v>
      </c>
      <c r="U26" s="243">
        <f t="shared" si="5"/>
        <v>0</v>
      </c>
      <c r="V26" s="243">
        <f t="shared" si="5"/>
        <v>0</v>
      </c>
      <c r="W26" s="243">
        <f t="shared" si="5"/>
        <v>0</v>
      </c>
      <c r="X26" s="243">
        <f t="shared" si="5"/>
        <v>0</v>
      </c>
      <c r="Y26" s="243">
        <f t="shared" si="5"/>
        <v>0</v>
      </c>
      <c r="Z26" s="243">
        <f t="shared" si="5"/>
        <v>0</v>
      </c>
      <c r="AA26" s="243">
        <f t="shared" si="5"/>
        <v>0</v>
      </c>
      <c r="AB26" s="243">
        <f t="shared" si="5"/>
        <v>0</v>
      </c>
      <c r="AC26" s="243">
        <f t="shared" si="5"/>
        <v>0</v>
      </c>
      <c r="AD26" s="243">
        <f t="shared" si="5"/>
        <v>0</v>
      </c>
      <c r="AE26" s="243">
        <f t="shared" si="5"/>
        <v>0</v>
      </c>
      <c r="AF26" s="243">
        <f>$B26*AF$25</f>
        <v>0</v>
      </c>
      <c r="AG26" s="243">
        <f t="shared" ref="AG26:AP26" si="6">$B26*AG$25</f>
        <v>0</v>
      </c>
      <c r="AH26" s="243">
        <f t="shared" si="6"/>
        <v>0</v>
      </c>
      <c r="AI26" s="243">
        <f t="shared" si="6"/>
        <v>0</v>
      </c>
      <c r="AJ26" s="243">
        <f t="shared" si="6"/>
        <v>0</v>
      </c>
      <c r="AK26" s="243">
        <f t="shared" si="6"/>
        <v>0</v>
      </c>
      <c r="AL26" s="243">
        <f t="shared" si="6"/>
        <v>0</v>
      </c>
      <c r="AM26" s="243">
        <f t="shared" si="6"/>
        <v>0</v>
      </c>
      <c r="AN26" s="243">
        <f t="shared" si="6"/>
        <v>0</v>
      </c>
      <c r="AO26" s="243">
        <f t="shared" si="6"/>
        <v>0</v>
      </c>
      <c r="AP26" s="243">
        <f t="shared" si="6"/>
        <v>156500000</v>
      </c>
    </row>
    <row r="27" spans="1:42" s="12" customFormat="1" x14ac:dyDescent="0.2">
      <c r="A27" s="14"/>
      <c r="B27" s="24"/>
      <c r="C27" s="24"/>
      <c r="D27" s="25"/>
      <c r="F27" s="11"/>
      <c r="K27" s="13"/>
      <c r="AF27" s="21"/>
    </row>
    <row r="28" spans="1:42" s="12" customFormat="1" x14ac:dyDescent="0.2">
      <c r="A28" s="10" t="s">
        <v>22</v>
      </c>
      <c r="B28" s="24"/>
      <c r="C28" s="24"/>
      <c r="D28" s="25"/>
      <c r="F28" s="11"/>
      <c r="K28" s="13"/>
      <c r="AF28" s="21"/>
    </row>
    <row r="29" spans="1:42" s="12" customFormat="1" x14ac:dyDescent="0.2">
      <c r="A29" s="39" t="s">
        <v>4</v>
      </c>
      <c r="C29" s="65">
        <f>Calculator!$C65</f>
        <v>4014.3716202939231</v>
      </c>
      <c r="F29" s="11"/>
      <c r="G29" s="37">
        <f t="shared" ref="G29:L29" si="7">$C29</f>
        <v>4014.3716202939231</v>
      </c>
      <c r="H29" s="37">
        <f t="shared" si="7"/>
        <v>4014.3716202939231</v>
      </c>
      <c r="I29" s="37">
        <f t="shared" si="7"/>
        <v>4014.3716202939231</v>
      </c>
      <c r="J29" s="37">
        <f t="shared" si="7"/>
        <v>4014.3716202939231</v>
      </c>
      <c r="K29" s="38">
        <f t="shared" si="7"/>
        <v>4014.3716202939231</v>
      </c>
      <c r="L29" s="37">
        <f t="shared" si="7"/>
        <v>4014.3716202939231</v>
      </c>
      <c r="M29" s="37">
        <f t="shared" ref="M29:AP29" si="8">$C29</f>
        <v>4014.3716202939231</v>
      </c>
      <c r="N29" s="37">
        <f t="shared" si="8"/>
        <v>4014.3716202939231</v>
      </c>
      <c r="O29" s="37">
        <f t="shared" si="8"/>
        <v>4014.3716202939231</v>
      </c>
      <c r="P29" s="37">
        <f t="shared" si="8"/>
        <v>4014.3716202939231</v>
      </c>
      <c r="Q29" s="37">
        <f t="shared" si="8"/>
        <v>4014.3716202939231</v>
      </c>
      <c r="R29" s="37">
        <f t="shared" si="8"/>
        <v>4014.3716202939231</v>
      </c>
      <c r="S29" s="37">
        <f t="shared" si="8"/>
        <v>4014.3716202939231</v>
      </c>
      <c r="T29" s="37">
        <f t="shared" si="8"/>
        <v>4014.3716202939231</v>
      </c>
      <c r="U29" s="37">
        <f t="shared" si="8"/>
        <v>4014.3716202939231</v>
      </c>
      <c r="V29" s="37">
        <f t="shared" si="8"/>
        <v>4014.3716202939231</v>
      </c>
      <c r="W29" s="37">
        <f t="shared" si="8"/>
        <v>4014.3716202939231</v>
      </c>
      <c r="X29" s="37">
        <f t="shared" si="8"/>
        <v>4014.3716202939231</v>
      </c>
      <c r="Y29" s="37">
        <f t="shared" si="8"/>
        <v>4014.3716202939231</v>
      </c>
      <c r="Z29" s="37">
        <f t="shared" si="8"/>
        <v>4014.3716202939231</v>
      </c>
      <c r="AA29" s="37">
        <f t="shared" si="8"/>
        <v>4014.3716202939231</v>
      </c>
      <c r="AB29" s="37">
        <f t="shared" si="8"/>
        <v>4014.3716202939231</v>
      </c>
      <c r="AC29" s="37">
        <f t="shared" si="8"/>
        <v>4014.3716202939231</v>
      </c>
      <c r="AD29" s="37">
        <f t="shared" si="8"/>
        <v>4014.3716202939231</v>
      </c>
      <c r="AE29" s="37">
        <f t="shared" si="8"/>
        <v>4014.3716202939231</v>
      </c>
      <c r="AF29" s="37">
        <f t="shared" si="8"/>
        <v>4014.3716202939231</v>
      </c>
      <c r="AG29" s="37">
        <f t="shared" si="8"/>
        <v>4014.3716202939231</v>
      </c>
      <c r="AH29" s="37">
        <f t="shared" si="8"/>
        <v>4014.3716202939231</v>
      </c>
      <c r="AI29" s="37">
        <f t="shared" si="8"/>
        <v>4014.3716202939231</v>
      </c>
      <c r="AJ29" s="37">
        <f t="shared" si="8"/>
        <v>4014.3716202939231</v>
      </c>
      <c r="AK29" s="37">
        <f t="shared" si="8"/>
        <v>4014.3716202939231</v>
      </c>
      <c r="AL29" s="37">
        <f t="shared" si="8"/>
        <v>4014.3716202939231</v>
      </c>
      <c r="AM29" s="37">
        <f t="shared" si="8"/>
        <v>4014.3716202939231</v>
      </c>
      <c r="AN29" s="37">
        <f t="shared" si="8"/>
        <v>4014.3716202939231</v>
      </c>
      <c r="AO29" s="37">
        <f t="shared" si="8"/>
        <v>4014.3716202939231</v>
      </c>
      <c r="AP29" s="37">
        <f t="shared" si="8"/>
        <v>4014.3716202939231</v>
      </c>
    </row>
    <row r="30" spans="1:42" s="12" customFormat="1" hidden="1" x14ac:dyDescent="0.2">
      <c r="A30" s="40" t="s">
        <v>19</v>
      </c>
      <c r="C30" s="41"/>
      <c r="F30" s="11"/>
      <c r="G30" s="42">
        <f>G2</f>
        <v>0</v>
      </c>
      <c r="H30" s="42">
        <f>H2</f>
        <v>0</v>
      </c>
      <c r="I30" s="42">
        <f t="shared" ref="I30:AP30" si="9">I2</f>
        <v>0</v>
      </c>
      <c r="J30" s="42">
        <f t="shared" si="9"/>
        <v>0</v>
      </c>
      <c r="K30" s="43">
        <f t="shared" si="9"/>
        <v>0</v>
      </c>
      <c r="L30" s="42">
        <f t="shared" si="9"/>
        <v>1</v>
      </c>
      <c r="M30" s="42">
        <f t="shared" si="9"/>
        <v>1</v>
      </c>
      <c r="N30" s="42">
        <f t="shared" si="9"/>
        <v>1</v>
      </c>
      <c r="O30" s="42">
        <f t="shared" si="9"/>
        <v>1</v>
      </c>
      <c r="P30" s="42">
        <f t="shared" si="9"/>
        <v>1</v>
      </c>
      <c r="Q30" s="42">
        <f t="shared" si="9"/>
        <v>1</v>
      </c>
      <c r="R30" s="42">
        <f t="shared" si="9"/>
        <v>1</v>
      </c>
      <c r="S30" s="42">
        <f t="shared" si="9"/>
        <v>1</v>
      </c>
      <c r="T30" s="42">
        <f t="shared" si="9"/>
        <v>1</v>
      </c>
      <c r="U30" s="42">
        <f t="shared" si="9"/>
        <v>1</v>
      </c>
      <c r="V30" s="42">
        <f t="shared" si="9"/>
        <v>1</v>
      </c>
      <c r="W30" s="42">
        <f t="shared" si="9"/>
        <v>1</v>
      </c>
      <c r="X30" s="42">
        <f t="shared" si="9"/>
        <v>1</v>
      </c>
      <c r="Y30" s="42">
        <f t="shared" si="9"/>
        <v>1</v>
      </c>
      <c r="Z30" s="42">
        <f t="shared" si="9"/>
        <v>1</v>
      </c>
      <c r="AA30" s="42">
        <f t="shared" si="9"/>
        <v>1</v>
      </c>
      <c r="AB30" s="42">
        <f t="shared" si="9"/>
        <v>1</v>
      </c>
      <c r="AC30" s="42">
        <f t="shared" si="9"/>
        <v>1</v>
      </c>
      <c r="AD30" s="42">
        <f t="shared" si="9"/>
        <v>1</v>
      </c>
      <c r="AE30" s="42">
        <f t="shared" si="9"/>
        <v>1</v>
      </c>
      <c r="AF30" s="42">
        <f t="shared" si="9"/>
        <v>1</v>
      </c>
      <c r="AG30" s="42">
        <f t="shared" si="9"/>
        <v>1</v>
      </c>
      <c r="AH30" s="42">
        <f t="shared" si="9"/>
        <v>1</v>
      </c>
      <c r="AI30" s="42">
        <f t="shared" si="9"/>
        <v>1</v>
      </c>
      <c r="AJ30" s="42">
        <f t="shared" si="9"/>
        <v>1</v>
      </c>
      <c r="AK30" s="42">
        <f t="shared" si="9"/>
        <v>1</v>
      </c>
      <c r="AL30" s="42">
        <f t="shared" si="9"/>
        <v>1</v>
      </c>
      <c r="AM30" s="42">
        <f t="shared" si="9"/>
        <v>1</v>
      </c>
      <c r="AN30" s="42">
        <f t="shared" si="9"/>
        <v>1</v>
      </c>
      <c r="AO30" s="42">
        <f t="shared" si="9"/>
        <v>1</v>
      </c>
      <c r="AP30" s="42">
        <f t="shared" si="9"/>
        <v>0</v>
      </c>
    </row>
    <row r="31" spans="1:42" s="12" customFormat="1" x14ac:dyDescent="0.2">
      <c r="A31" s="10" t="s">
        <v>3</v>
      </c>
      <c r="B31" s="44">
        <f>SUM(G31:AF31)</f>
        <v>84301804.026172414</v>
      </c>
      <c r="C31" s="44"/>
      <c r="D31" s="45"/>
      <c r="F31" s="11"/>
      <c r="G31" s="46">
        <f>G29*G30*Calculator!$C$72</f>
        <v>0</v>
      </c>
      <c r="H31" s="46">
        <f>H29*H30*Calculator!$C$72</f>
        <v>0</v>
      </c>
      <c r="I31" s="46">
        <f>I29*I30*Calculator!$C$72</f>
        <v>0</v>
      </c>
      <c r="J31" s="46">
        <f>J29*J30*Calculator!$C$72</f>
        <v>0</v>
      </c>
      <c r="K31" s="47">
        <f>K29*K30*Calculator!$C$72</f>
        <v>0</v>
      </c>
      <c r="L31" s="46">
        <f>L29*L30*Calculator!$C$72</f>
        <v>4014371.6202939232</v>
      </c>
      <c r="M31" s="46">
        <f>M29*M30*Calculator!$C$72</f>
        <v>4014371.6202939232</v>
      </c>
      <c r="N31" s="46">
        <f>N29*N30*Calculator!$C$72</f>
        <v>4014371.6202939232</v>
      </c>
      <c r="O31" s="46">
        <f>O29*O30*Calculator!$C$72</f>
        <v>4014371.6202939232</v>
      </c>
      <c r="P31" s="46">
        <f>P29*P30*Calculator!$C$72</f>
        <v>4014371.6202939232</v>
      </c>
      <c r="Q31" s="46">
        <f>Q29*Q30*Calculator!$C$72</f>
        <v>4014371.6202939232</v>
      </c>
      <c r="R31" s="46">
        <f>R29*R30*Calculator!$C$72</f>
        <v>4014371.6202939232</v>
      </c>
      <c r="S31" s="46">
        <f>S29*S30*Calculator!$C$72</f>
        <v>4014371.6202939232</v>
      </c>
      <c r="T31" s="46">
        <f>T29*T30*Calculator!$C$72</f>
        <v>4014371.6202939232</v>
      </c>
      <c r="U31" s="46">
        <f>U29*U30*Calculator!$C$72</f>
        <v>4014371.6202939232</v>
      </c>
      <c r="V31" s="46">
        <f>V29*V30*Calculator!$C$72</f>
        <v>4014371.6202939232</v>
      </c>
      <c r="W31" s="46">
        <f>W29*W30*Calculator!$C$72</f>
        <v>4014371.6202939232</v>
      </c>
      <c r="X31" s="46">
        <f>X29*X30*Calculator!$C$72</f>
        <v>4014371.6202939232</v>
      </c>
      <c r="Y31" s="46">
        <f>Y29*Y30*Calculator!$C$72</f>
        <v>4014371.6202939232</v>
      </c>
      <c r="Z31" s="46">
        <f>Z29*Z30*Calculator!$C$72</f>
        <v>4014371.6202939232</v>
      </c>
      <c r="AA31" s="46">
        <f>AA29*AA30*Calculator!$C$72</f>
        <v>4014371.6202939232</v>
      </c>
      <c r="AB31" s="46">
        <f>AB29*AB30*Calculator!$C$72</f>
        <v>4014371.6202939232</v>
      </c>
      <c r="AC31" s="46">
        <f>AC29*AC30*Calculator!$C$72</f>
        <v>4014371.6202939232</v>
      </c>
      <c r="AD31" s="46">
        <f>AD29*AD30*Calculator!$C$72</f>
        <v>4014371.6202939232</v>
      </c>
      <c r="AE31" s="46">
        <f>AE29*AE30*Calculator!$C$72</f>
        <v>4014371.6202939232</v>
      </c>
      <c r="AF31" s="46">
        <f>AF29*AF30*Calculator!$C$72</f>
        <v>4014371.6202939232</v>
      </c>
      <c r="AG31" s="46">
        <f>AG29*AG30*Calculator!$C$72</f>
        <v>4014371.6202939232</v>
      </c>
      <c r="AH31" s="46">
        <f>AH29*AH30*Calculator!$C$72</f>
        <v>4014371.6202939232</v>
      </c>
      <c r="AI31" s="46">
        <f>AI29*AI30*Calculator!$C$72</f>
        <v>4014371.6202939232</v>
      </c>
      <c r="AJ31" s="46">
        <f>AJ29*AJ30*Calculator!$C$72</f>
        <v>4014371.6202939232</v>
      </c>
      <c r="AK31" s="46">
        <f>AK29*AK30*Calculator!$C$72</f>
        <v>4014371.6202939232</v>
      </c>
      <c r="AL31" s="46">
        <f>AL29*AL30*Calculator!$C$72</f>
        <v>4014371.6202939232</v>
      </c>
      <c r="AM31" s="46">
        <f>AM29*AM30*Calculator!$C$72</f>
        <v>4014371.6202939232</v>
      </c>
      <c r="AN31" s="46">
        <f>AN29*AN30*Calculator!$C$72</f>
        <v>4014371.6202939232</v>
      </c>
      <c r="AO31" s="46">
        <f>AO29*AO30*Calculator!$C$72</f>
        <v>4014371.6202939232</v>
      </c>
      <c r="AP31" s="46">
        <f>AP29*AP30*Calculator!$C$72</f>
        <v>0</v>
      </c>
    </row>
    <row r="32" spans="1:42" s="12" customFormat="1" x14ac:dyDescent="0.2">
      <c r="A32" s="48"/>
      <c r="D32" s="16"/>
      <c r="F32" s="11"/>
      <c r="H32" s="199" t="s">
        <v>229</v>
      </c>
      <c r="K32" s="13"/>
    </row>
    <row r="33" spans="1:42" s="12" customFormat="1" ht="25.5" x14ac:dyDescent="0.2">
      <c r="A33" s="10" t="s">
        <v>5</v>
      </c>
      <c r="B33" s="68">
        <f>Calculator!$C$74</f>
        <v>5.5E-2</v>
      </c>
      <c r="D33" s="16"/>
      <c r="F33" s="11" t="s">
        <v>6</v>
      </c>
      <c r="G33" s="49">
        <v>1</v>
      </c>
      <c r="H33" s="312">
        <f>1/(1+$B$33)^(H1+3.5)</f>
        <v>0.97358476702247099</v>
      </c>
      <c r="I33" s="312">
        <f t="shared" ref="I33:AP33" si="10">1/(1+$B$33)^(I1+3.5)</f>
        <v>0.92282916305447504</v>
      </c>
      <c r="J33" s="312">
        <f t="shared" si="10"/>
        <v>0.87471958583362563</v>
      </c>
      <c r="K33" s="312">
        <f t="shared" si="10"/>
        <v>0.82911809083755983</v>
      </c>
      <c r="L33" s="312">
        <f t="shared" si="10"/>
        <v>0.78589392496451171</v>
      </c>
      <c r="M33" s="312">
        <f t="shared" si="10"/>
        <v>0.74492315162512968</v>
      </c>
      <c r="N33" s="312">
        <f t="shared" si="10"/>
        <v>0.70608829537926976</v>
      </c>
      <c r="O33" s="312">
        <f t="shared" si="10"/>
        <v>0.66927800509883406</v>
      </c>
      <c r="P33" s="312">
        <f t="shared" si="10"/>
        <v>0.63438673469083795</v>
      </c>
      <c r="Q33" s="312">
        <f t="shared" si="10"/>
        <v>0.60131444046524929</v>
      </c>
      <c r="R33" s="312">
        <f t="shared" si="10"/>
        <v>0.56996629427985712</v>
      </c>
      <c r="S33" s="312">
        <f t="shared" si="10"/>
        <v>0.54025241163967508</v>
      </c>
      <c r="T33" s="312">
        <f t="shared" si="10"/>
        <v>0.51208759397125603</v>
      </c>
      <c r="U33" s="312">
        <f t="shared" si="10"/>
        <v>0.4853910843329442</v>
      </c>
      <c r="V33" s="312">
        <f t="shared" si="10"/>
        <v>0.4600863358606106</v>
      </c>
      <c r="W33" s="312">
        <f t="shared" si="10"/>
        <v>0.43610079228493898</v>
      </c>
      <c r="X33" s="312">
        <f t="shared" si="10"/>
        <v>0.41336567989093748</v>
      </c>
      <c r="Y33" s="312">
        <f t="shared" si="10"/>
        <v>0.39181581032316348</v>
      </c>
      <c r="Z33" s="312">
        <f t="shared" si="10"/>
        <v>0.37138939367124502</v>
      </c>
      <c r="AA33" s="312">
        <f t="shared" si="10"/>
        <v>0.35202786129975833</v>
      </c>
      <c r="AB33" s="312">
        <f t="shared" si="10"/>
        <v>0.33367569791446289</v>
      </c>
      <c r="AC33" s="312">
        <f t="shared" si="10"/>
        <v>0.31628028238337719</v>
      </c>
      <c r="AD33" s="312">
        <f t="shared" si="10"/>
        <v>0.29979173685628169</v>
      </c>
      <c r="AE33" s="312">
        <f t="shared" si="10"/>
        <v>0.28416278375003007</v>
      </c>
      <c r="AF33" s="312">
        <f t="shared" si="10"/>
        <v>0.26934861018960199</v>
      </c>
      <c r="AG33" s="312">
        <f t="shared" si="10"/>
        <v>0.25530673951621041</v>
      </c>
      <c r="AH33" s="312">
        <f t="shared" si="10"/>
        <v>0.24199690949403835</v>
      </c>
      <c r="AI33" s="312">
        <f t="shared" si="10"/>
        <v>0.22938095686638699</v>
      </c>
      <c r="AJ33" s="312">
        <f t="shared" si="10"/>
        <v>0.2174227079302247</v>
      </c>
      <c r="AK33" s="312">
        <f t="shared" si="10"/>
        <v>0.20608787481537888</v>
      </c>
      <c r="AL33" s="312">
        <f t="shared" si="10"/>
        <v>0.19534395717097525</v>
      </c>
      <c r="AM33" s="312">
        <f t="shared" si="10"/>
        <v>0.18516014897722774</v>
      </c>
      <c r="AN33" s="312">
        <f t="shared" si="10"/>
        <v>0.17550725021538174</v>
      </c>
      <c r="AO33" s="312">
        <f t="shared" si="10"/>
        <v>0.16635758314254195</v>
      </c>
      <c r="AP33" s="312">
        <f t="shared" si="10"/>
        <v>0.15768491293131937</v>
      </c>
    </row>
    <row r="34" spans="1:42" s="12" customFormat="1" x14ac:dyDescent="0.2">
      <c r="A34" s="14"/>
      <c r="B34" s="15"/>
      <c r="C34" s="16"/>
      <c r="D34" s="16"/>
      <c r="F34" s="11"/>
      <c r="K34" s="13"/>
    </row>
    <row r="35" spans="1:42" s="53" customFormat="1" x14ac:dyDescent="0.2">
      <c r="A35" s="51" t="s">
        <v>7</v>
      </c>
      <c r="B35" s="52"/>
      <c r="F35" s="52"/>
      <c r="G35" s="8"/>
      <c r="H35" s="8"/>
      <c r="I35" s="8"/>
      <c r="K35" s="9"/>
    </row>
    <row r="36" spans="1:42" x14ac:dyDescent="0.2">
      <c r="A36" s="54" t="s">
        <v>8</v>
      </c>
      <c r="B36" s="2">
        <f>SUM(G36:AP36)</f>
        <v>1529070055.4257615</v>
      </c>
      <c r="G36" s="2">
        <f>G$16*G33</f>
        <v>41700000</v>
      </c>
      <c r="H36" s="2">
        <f>H$16*H33</f>
        <v>91304751.385359198</v>
      </c>
      <c r="I36" s="2">
        <f t="shared" ref="I36:AP36" si="11">I$16*I33</f>
        <v>329442037.43425792</v>
      </c>
      <c r="J36" s="2">
        <f t="shared" si="11"/>
        <v>533250006.56131881</v>
      </c>
      <c r="K36" s="2">
        <f t="shared" si="11"/>
        <v>507583954.42363393</v>
      </c>
      <c r="L36" s="2">
        <f t="shared" si="11"/>
        <v>25789305.621191692</v>
      </c>
      <c r="M36" s="2">
        <f t="shared" si="11"/>
        <v>0</v>
      </c>
      <c r="N36" s="2">
        <f t="shared" si="11"/>
        <v>0</v>
      </c>
      <c r="O36" s="2">
        <f t="shared" si="11"/>
        <v>0</v>
      </c>
      <c r="P36" s="2">
        <f t="shared" si="11"/>
        <v>0</v>
      </c>
      <c r="Q36" s="2">
        <f t="shared" si="11"/>
        <v>0</v>
      </c>
      <c r="R36" s="2">
        <f t="shared" si="11"/>
        <v>0</v>
      </c>
      <c r="S36" s="2">
        <f t="shared" si="11"/>
        <v>0</v>
      </c>
      <c r="T36" s="2">
        <f t="shared" si="11"/>
        <v>0</v>
      </c>
      <c r="U36" s="2">
        <f t="shared" si="11"/>
        <v>0</v>
      </c>
      <c r="V36" s="2">
        <f t="shared" si="11"/>
        <v>0</v>
      </c>
      <c r="W36" s="2">
        <f t="shared" si="11"/>
        <v>0</v>
      </c>
      <c r="X36" s="2">
        <f t="shared" si="11"/>
        <v>0</v>
      </c>
      <c r="Y36" s="2">
        <f t="shared" si="11"/>
        <v>0</v>
      </c>
      <c r="Z36" s="2">
        <f t="shared" si="11"/>
        <v>0</v>
      </c>
      <c r="AA36" s="2">
        <f t="shared" si="11"/>
        <v>0</v>
      </c>
      <c r="AB36" s="2">
        <f t="shared" si="11"/>
        <v>0</v>
      </c>
      <c r="AC36" s="2">
        <f t="shared" si="11"/>
        <v>0</v>
      </c>
      <c r="AD36" s="2">
        <f t="shared" si="11"/>
        <v>0</v>
      </c>
      <c r="AE36" s="2">
        <f t="shared" si="11"/>
        <v>0</v>
      </c>
      <c r="AF36" s="2">
        <f t="shared" si="11"/>
        <v>0</v>
      </c>
      <c r="AG36" s="2">
        <f t="shared" si="11"/>
        <v>0</v>
      </c>
      <c r="AH36" s="2">
        <f t="shared" si="11"/>
        <v>0</v>
      </c>
      <c r="AI36" s="2">
        <f t="shared" si="11"/>
        <v>0</v>
      </c>
      <c r="AJ36" s="2">
        <f t="shared" si="11"/>
        <v>0</v>
      </c>
      <c r="AK36" s="2">
        <f t="shared" si="11"/>
        <v>0</v>
      </c>
      <c r="AL36" s="2">
        <f t="shared" si="11"/>
        <v>0</v>
      </c>
      <c r="AM36" s="2">
        <f t="shared" si="11"/>
        <v>0</v>
      </c>
      <c r="AN36" s="2">
        <f t="shared" si="11"/>
        <v>0</v>
      </c>
      <c r="AO36" s="2">
        <f t="shared" si="11"/>
        <v>0</v>
      </c>
      <c r="AP36" s="2">
        <f t="shared" si="11"/>
        <v>0</v>
      </c>
    </row>
    <row r="37" spans="1:42" x14ac:dyDescent="0.2">
      <c r="A37" s="54" t="s">
        <v>9</v>
      </c>
      <c r="B37" s="2">
        <f>SUM(G37:AP37)</f>
        <v>326560177.42790926</v>
      </c>
      <c r="G37" s="2">
        <f>G$22*G33</f>
        <v>0</v>
      </c>
      <c r="H37" s="2">
        <f t="shared" ref="H37:AP37" si="12">H$22*H33</f>
        <v>0</v>
      </c>
      <c r="I37" s="2">
        <f t="shared" si="12"/>
        <v>0</v>
      </c>
      <c r="J37" s="2">
        <f t="shared" si="12"/>
        <v>0</v>
      </c>
      <c r="K37" s="2">
        <f t="shared" si="12"/>
        <v>0</v>
      </c>
      <c r="L37" s="2">
        <f t="shared" si="12"/>
        <v>21297725.366538268</v>
      </c>
      <c r="M37" s="2">
        <f t="shared" si="12"/>
        <v>20187417.409041014</v>
      </c>
      <c r="N37" s="2">
        <f t="shared" si="12"/>
        <v>19134992.804778211</v>
      </c>
      <c r="O37" s="2">
        <f t="shared" si="12"/>
        <v>18137433.938178401</v>
      </c>
      <c r="P37" s="2">
        <f t="shared" si="12"/>
        <v>17191880.510121707</v>
      </c>
      <c r="Q37" s="2">
        <f t="shared" si="12"/>
        <v>16295621.336608255</v>
      </c>
      <c r="R37" s="2">
        <f t="shared" si="12"/>
        <v>15446086.574984128</v>
      </c>
      <c r="S37" s="2">
        <f t="shared" si="12"/>
        <v>14640840.355435194</v>
      </c>
      <c r="T37" s="2">
        <f t="shared" si="12"/>
        <v>13877573.796621038</v>
      </c>
      <c r="U37" s="2">
        <f t="shared" si="12"/>
        <v>13154098.385422789</v>
      </c>
      <c r="V37" s="2">
        <f t="shared" si="12"/>
        <v>12468339.701822547</v>
      </c>
      <c r="W37" s="2">
        <f t="shared" si="12"/>
        <v>11818331.470921846</v>
      </c>
      <c r="X37" s="2">
        <f t="shared" si="12"/>
        <v>11202209.925044406</v>
      </c>
      <c r="Y37" s="2">
        <f t="shared" si="12"/>
        <v>10618208.45975773</v>
      </c>
      <c r="Z37" s="2">
        <f t="shared" si="12"/>
        <v>10064652.56849074</v>
      </c>
      <c r="AA37" s="2">
        <f t="shared" si="12"/>
        <v>9539955.0412234515</v>
      </c>
      <c r="AB37" s="2">
        <f t="shared" si="12"/>
        <v>9042611.4134819452</v>
      </c>
      <c r="AC37" s="2">
        <f t="shared" si="12"/>
        <v>8571195.6525895223</v>
      </c>
      <c r="AD37" s="2">
        <f t="shared" si="12"/>
        <v>8124356.0688052336</v>
      </c>
      <c r="AE37" s="2">
        <f t="shared" si="12"/>
        <v>7700811.4396258146</v>
      </c>
      <c r="AF37" s="2">
        <f t="shared" si="12"/>
        <v>7299347.336138214</v>
      </c>
      <c r="AG37" s="2">
        <f t="shared" si="12"/>
        <v>6918812.6408893019</v>
      </c>
      <c r="AH37" s="2">
        <f t="shared" si="12"/>
        <v>6558116.2472884394</v>
      </c>
      <c r="AI37" s="2">
        <f t="shared" si="12"/>
        <v>6216223.9310790878</v>
      </c>
      <c r="AJ37" s="2">
        <f t="shared" si="12"/>
        <v>5892155.3849090897</v>
      </c>
      <c r="AK37" s="2">
        <f t="shared" si="12"/>
        <v>5584981.407496768</v>
      </c>
      <c r="AL37" s="2">
        <f t="shared" si="12"/>
        <v>5293821.2393334294</v>
      </c>
      <c r="AM37" s="2">
        <f t="shared" si="12"/>
        <v>5017840.037282872</v>
      </c>
      <c r="AN37" s="2">
        <f t="shared" si="12"/>
        <v>4756246.480836845</v>
      </c>
      <c r="AO37" s="2">
        <f t="shared" si="12"/>
        <v>4508290.5031628869</v>
      </c>
      <c r="AP37" s="2">
        <f t="shared" si="12"/>
        <v>0</v>
      </c>
    </row>
    <row r="38" spans="1:42" x14ac:dyDescent="0.2">
      <c r="A38" s="54" t="s">
        <v>10</v>
      </c>
      <c r="B38" s="2">
        <f>SUM(G38:AP38)</f>
        <v>24677688.87375148</v>
      </c>
      <c r="G38" s="2">
        <f>G$26*G33</f>
        <v>0</v>
      </c>
      <c r="H38" s="2">
        <f t="shared" ref="H38:AP38" si="13">H$26*H33</f>
        <v>0</v>
      </c>
      <c r="I38" s="2">
        <f t="shared" si="13"/>
        <v>0</v>
      </c>
      <c r="J38" s="2">
        <f t="shared" si="13"/>
        <v>0</v>
      </c>
      <c r="K38" s="2">
        <f t="shared" si="13"/>
        <v>0</v>
      </c>
      <c r="L38" s="2">
        <f t="shared" si="13"/>
        <v>0</v>
      </c>
      <c r="M38" s="2">
        <f t="shared" si="13"/>
        <v>0</v>
      </c>
      <c r="N38" s="2">
        <f t="shared" si="13"/>
        <v>0</v>
      </c>
      <c r="O38" s="2">
        <f t="shared" si="13"/>
        <v>0</v>
      </c>
      <c r="P38" s="2">
        <f t="shared" si="13"/>
        <v>0</v>
      </c>
      <c r="Q38" s="2">
        <f t="shared" si="13"/>
        <v>0</v>
      </c>
      <c r="R38" s="2">
        <f t="shared" si="13"/>
        <v>0</v>
      </c>
      <c r="S38" s="2">
        <f t="shared" si="13"/>
        <v>0</v>
      </c>
      <c r="T38" s="2">
        <f t="shared" si="13"/>
        <v>0</v>
      </c>
      <c r="U38" s="2">
        <f t="shared" si="13"/>
        <v>0</v>
      </c>
      <c r="V38" s="2">
        <f t="shared" si="13"/>
        <v>0</v>
      </c>
      <c r="W38" s="2">
        <f t="shared" si="13"/>
        <v>0</v>
      </c>
      <c r="X38" s="2">
        <f t="shared" si="13"/>
        <v>0</v>
      </c>
      <c r="Y38" s="2">
        <f t="shared" si="13"/>
        <v>0</v>
      </c>
      <c r="Z38" s="2">
        <f t="shared" si="13"/>
        <v>0</v>
      </c>
      <c r="AA38" s="2">
        <f t="shared" si="13"/>
        <v>0</v>
      </c>
      <c r="AB38" s="2">
        <f t="shared" si="13"/>
        <v>0</v>
      </c>
      <c r="AC38" s="2">
        <f t="shared" si="13"/>
        <v>0</v>
      </c>
      <c r="AD38" s="2">
        <f t="shared" si="13"/>
        <v>0</v>
      </c>
      <c r="AE38" s="2">
        <f t="shared" si="13"/>
        <v>0</v>
      </c>
      <c r="AF38" s="2">
        <f>AF$26*AF33</f>
        <v>0</v>
      </c>
      <c r="AG38" s="2">
        <f t="shared" si="13"/>
        <v>0</v>
      </c>
      <c r="AH38" s="2">
        <f t="shared" si="13"/>
        <v>0</v>
      </c>
      <c r="AI38" s="2">
        <f t="shared" si="13"/>
        <v>0</v>
      </c>
      <c r="AJ38" s="2">
        <f t="shared" si="13"/>
        <v>0</v>
      </c>
      <c r="AK38" s="2">
        <f t="shared" si="13"/>
        <v>0</v>
      </c>
      <c r="AL38" s="2">
        <f t="shared" si="13"/>
        <v>0</v>
      </c>
      <c r="AM38" s="2">
        <f t="shared" si="13"/>
        <v>0</v>
      </c>
      <c r="AN38" s="2">
        <f t="shared" si="13"/>
        <v>0</v>
      </c>
      <c r="AO38" s="2">
        <f t="shared" si="13"/>
        <v>0</v>
      </c>
      <c r="AP38" s="2">
        <f t="shared" si="13"/>
        <v>24677688.87375148</v>
      </c>
    </row>
    <row r="39" spans="1:42" x14ac:dyDescent="0.2">
      <c r="A39" s="54" t="s">
        <v>11</v>
      </c>
      <c r="B39" s="2">
        <f>SUM(G39:AP39)</f>
        <v>1880307921.7274218</v>
      </c>
      <c r="G39" s="2">
        <f>SUM(G36:G38)</f>
        <v>41700000</v>
      </c>
      <c r="H39" s="2">
        <f>SUM(H36:H38)</f>
        <v>91304751.385359198</v>
      </c>
      <c r="I39" s="2">
        <f t="shared" ref="I39:AF39" si="14">SUM(I36:I38)</f>
        <v>329442037.43425792</v>
      </c>
      <c r="J39" s="2">
        <f t="shared" si="14"/>
        <v>533250006.56131881</v>
      </c>
      <c r="K39" s="2">
        <f t="shared" si="14"/>
        <v>507583954.42363393</v>
      </c>
      <c r="L39" s="2">
        <f t="shared" si="14"/>
        <v>47087030.987729959</v>
      </c>
      <c r="M39" s="2">
        <f t="shared" si="14"/>
        <v>20187417.409041014</v>
      </c>
      <c r="N39" s="2">
        <f t="shared" si="14"/>
        <v>19134992.804778211</v>
      </c>
      <c r="O39" s="2">
        <f t="shared" si="14"/>
        <v>18137433.938178401</v>
      </c>
      <c r="P39" s="2">
        <f t="shared" si="14"/>
        <v>17191880.510121707</v>
      </c>
      <c r="Q39" s="2">
        <f t="shared" si="14"/>
        <v>16295621.336608255</v>
      </c>
      <c r="R39" s="2">
        <f t="shared" si="14"/>
        <v>15446086.574984128</v>
      </c>
      <c r="S39" s="2">
        <f t="shared" si="14"/>
        <v>14640840.355435194</v>
      </c>
      <c r="T39" s="2">
        <f t="shared" si="14"/>
        <v>13877573.796621038</v>
      </c>
      <c r="U39" s="2">
        <f t="shared" si="14"/>
        <v>13154098.385422789</v>
      </c>
      <c r="V39" s="2">
        <f t="shared" si="14"/>
        <v>12468339.701822547</v>
      </c>
      <c r="W39" s="2">
        <f t="shared" si="14"/>
        <v>11818331.470921846</v>
      </c>
      <c r="X39" s="2">
        <f t="shared" si="14"/>
        <v>11202209.925044406</v>
      </c>
      <c r="Y39" s="2">
        <f t="shared" si="14"/>
        <v>10618208.45975773</v>
      </c>
      <c r="Z39" s="2">
        <f t="shared" si="14"/>
        <v>10064652.56849074</v>
      </c>
      <c r="AA39" s="2">
        <f t="shared" si="14"/>
        <v>9539955.0412234515</v>
      </c>
      <c r="AB39" s="2">
        <f t="shared" si="14"/>
        <v>9042611.4134819452</v>
      </c>
      <c r="AC39" s="2">
        <f t="shared" si="14"/>
        <v>8571195.6525895223</v>
      </c>
      <c r="AD39" s="2">
        <f t="shared" si="14"/>
        <v>8124356.0688052336</v>
      </c>
      <c r="AE39" s="2">
        <f t="shared" si="14"/>
        <v>7700811.4396258146</v>
      </c>
      <c r="AF39" s="2">
        <f t="shared" si="14"/>
        <v>7299347.336138214</v>
      </c>
      <c r="AG39" s="2">
        <f t="shared" ref="AG39:AP39" si="15">SUM(AG36:AG38)</f>
        <v>6918812.6408893019</v>
      </c>
      <c r="AH39" s="2">
        <f t="shared" si="15"/>
        <v>6558116.2472884394</v>
      </c>
      <c r="AI39" s="2">
        <f t="shared" si="15"/>
        <v>6216223.9310790878</v>
      </c>
      <c r="AJ39" s="2">
        <f t="shared" si="15"/>
        <v>5892155.3849090897</v>
      </c>
      <c r="AK39" s="2">
        <f t="shared" si="15"/>
        <v>5584981.407496768</v>
      </c>
      <c r="AL39" s="2">
        <f t="shared" si="15"/>
        <v>5293821.2393334294</v>
      </c>
      <c r="AM39" s="2">
        <f t="shared" si="15"/>
        <v>5017840.037282872</v>
      </c>
      <c r="AN39" s="2">
        <f t="shared" si="15"/>
        <v>4756246.480836845</v>
      </c>
      <c r="AO39" s="2">
        <f t="shared" si="15"/>
        <v>4508290.5031628869</v>
      </c>
      <c r="AP39" s="2">
        <f t="shared" si="15"/>
        <v>24677688.87375148</v>
      </c>
    </row>
    <row r="41" spans="1:42" x14ac:dyDescent="0.2">
      <c r="A41" s="54" t="s">
        <v>12</v>
      </c>
      <c r="B41" s="2">
        <f>SUM(G41:AP41)</f>
        <v>48373944.966226831</v>
      </c>
      <c r="G41" s="2">
        <f>G31*G33</f>
        <v>0</v>
      </c>
      <c r="H41" s="2">
        <f>H31*H33</f>
        <v>0</v>
      </c>
      <c r="I41" s="2">
        <f t="shared" ref="I41:AP41" si="16">I31*I33</f>
        <v>0</v>
      </c>
      <c r="J41" s="2">
        <f t="shared" si="16"/>
        <v>0</v>
      </c>
      <c r="K41" s="2">
        <f t="shared" si="16"/>
        <v>0</v>
      </c>
      <c r="L41" s="2">
        <f t="shared" si="16"/>
        <v>3154870.2689389377</v>
      </c>
      <c r="M41" s="2">
        <f t="shared" si="16"/>
        <v>2990398.3591838274</v>
      </c>
      <c r="N41" s="2">
        <f t="shared" si="16"/>
        <v>2834500.8143922533</v>
      </c>
      <c r="O41" s="2">
        <f t="shared" si="16"/>
        <v>2686730.6297556912</v>
      </c>
      <c r="P41" s="2">
        <f t="shared" si="16"/>
        <v>2546664.1040338301</v>
      </c>
      <c r="Q41" s="2">
        <f t="shared" si="16"/>
        <v>2413899.6246766164</v>
      </c>
      <c r="R41" s="2">
        <f t="shared" si="16"/>
        <v>2288056.5162811531</v>
      </c>
      <c r="S41" s="2">
        <f t="shared" si="16"/>
        <v>2168773.9490816621</v>
      </c>
      <c r="T41" s="2">
        <f t="shared" si="16"/>
        <v>2055709.9043428076</v>
      </c>
      <c r="U41" s="2">
        <f t="shared" si="16"/>
        <v>1948540.1936898655</v>
      </c>
      <c r="V41" s="2">
        <f t="shared" si="16"/>
        <v>1846957.5295638535</v>
      </c>
      <c r="W41" s="2">
        <f t="shared" si="16"/>
        <v>1750670.6441363541</v>
      </c>
      <c r="X41" s="2">
        <f t="shared" si="16"/>
        <v>1659403.4541576819</v>
      </c>
      <c r="Y41" s="2">
        <f t="shared" si="16"/>
        <v>1572894.2693437743</v>
      </c>
      <c r="Z41" s="2">
        <f t="shared" si="16"/>
        <v>1490895.0420320136</v>
      </c>
      <c r="AA41" s="2">
        <f t="shared" si="16"/>
        <v>1413170.6559545153</v>
      </c>
      <c r="AB41" s="2">
        <f t="shared" si="16"/>
        <v>1339498.252089588</v>
      </c>
      <c r="AC41" s="2">
        <f t="shared" si="16"/>
        <v>1269666.5896583775</v>
      </c>
      <c r="AD41" s="2">
        <f t="shared" si="16"/>
        <v>1203475.440434481</v>
      </c>
      <c r="AE41" s="2">
        <f t="shared" si="16"/>
        <v>1140735.0146298399</v>
      </c>
      <c r="AF41" s="2">
        <f t="shared" si="16"/>
        <v>1081265.4167107488</v>
      </c>
      <c r="AG41" s="2">
        <f t="shared" si="16"/>
        <v>1024896.1295836482</v>
      </c>
      <c r="AH41" s="2">
        <f t="shared" si="16"/>
        <v>971465.52567170456</v>
      </c>
      <c r="AI41" s="2">
        <f t="shared" si="16"/>
        <v>920820.40348028846</v>
      </c>
      <c r="AJ41" s="2">
        <f t="shared" si="16"/>
        <v>872815.54832254851</v>
      </c>
      <c r="AK41" s="2">
        <f t="shared" si="16"/>
        <v>827313.3159455437</v>
      </c>
      <c r="AL41" s="2">
        <f t="shared" si="16"/>
        <v>784183.23786307464</v>
      </c>
      <c r="AM41" s="2">
        <f t="shared" si="16"/>
        <v>743301.64726357791</v>
      </c>
      <c r="AN41" s="2">
        <f t="shared" si="16"/>
        <v>704551.32442045305</v>
      </c>
      <c r="AO41" s="2">
        <f t="shared" si="16"/>
        <v>667821.16058810719</v>
      </c>
      <c r="AP41" s="2">
        <f t="shared" si="16"/>
        <v>0</v>
      </c>
    </row>
    <row r="43" spans="1:42" x14ac:dyDescent="0.2">
      <c r="A43" s="51" t="s">
        <v>13</v>
      </c>
      <c r="B43" s="69">
        <f>B39/B41</f>
        <v>38.870262142982007</v>
      </c>
      <c r="C43" s="59" t="s">
        <v>148</v>
      </c>
      <c r="D43" s="59"/>
    </row>
    <row r="44" spans="1:42" x14ac:dyDescent="0.2">
      <c r="B44" s="66"/>
    </row>
    <row r="47" spans="1:42" x14ac:dyDescent="0.2">
      <c r="A47" s="148"/>
    </row>
    <row r="48" spans="1:42" x14ac:dyDescent="0.2">
      <c r="A48" s="148"/>
    </row>
  </sheetData>
  <customSheetViews>
    <customSheetView guid="{6EFC19BA-DD6E-47CD-9957-A134841DA95E}" hiddenRows="1" state="hidden">
      <pane xSplit="1" ySplit="1" topLeftCell="B2" activePane="bottomRight" state="frozen"/>
      <selection pane="bottomRight" activeCell="C18" sqref="C18"/>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0.79998168889431442"/>
  </sheetPr>
  <dimension ref="A1:AP44"/>
  <sheetViews>
    <sheetView topLeftCell="E3" zoomScaleNormal="100" workbookViewId="0">
      <selection activeCell="A7" sqref="A7"/>
    </sheetView>
  </sheetViews>
  <sheetFormatPr defaultColWidth="9.140625" defaultRowHeight="12.75" x14ac:dyDescent="0.2"/>
  <cols>
    <col min="1" max="1" width="38.140625" style="54" customWidth="1"/>
    <col min="2" max="2" width="17.7109375" style="15" customWidth="1"/>
    <col min="3" max="3" width="13.42578125" style="16" customWidth="1"/>
    <col min="4" max="4" width="8.42578125" style="16" customWidth="1"/>
    <col min="5" max="5" width="2.42578125" style="16" customWidth="1"/>
    <col min="6" max="6" width="16.140625" style="15" customWidth="1"/>
    <col min="7" max="9" width="16.140625" style="17" customWidth="1"/>
    <col min="10" max="10" width="16.42578125" style="16" customWidth="1"/>
    <col min="11" max="11" width="14.42578125" style="60" customWidth="1"/>
    <col min="12" max="12" width="14.42578125" style="16" customWidth="1"/>
    <col min="13" max="15" width="13.28515625" style="16" bestFit="1" customWidth="1"/>
    <col min="16" max="26" width="12.7109375" style="16" bestFit="1" customWidth="1"/>
    <col min="27" max="27" width="12.42578125" style="16" customWidth="1"/>
    <col min="28" max="28" width="12.7109375" style="16" customWidth="1"/>
    <col min="29" max="31" width="13.140625" style="16" customWidth="1"/>
    <col min="32" max="32" width="13.42578125" style="16" bestFit="1" customWidth="1"/>
    <col min="33" max="42" width="12.42578125" style="16" customWidth="1"/>
    <col min="43" max="50" width="10.28515625" style="16" bestFit="1" customWidth="1"/>
    <col min="51" max="16384" width="9.140625" style="16"/>
  </cols>
  <sheetData>
    <row r="1" spans="1:42" s="7" customFormat="1" x14ac:dyDescent="0.2">
      <c r="A1" s="5"/>
      <c r="B1" s="6" t="s">
        <v>0</v>
      </c>
      <c r="C1" s="7" t="s">
        <v>1</v>
      </c>
      <c r="F1" s="6" t="s">
        <v>2</v>
      </c>
      <c r="G1" s="8">
        <v>-4</v>
      </c>
      <c r="H1" s="8">
        <v>-3</v>
      </c>
      <c r="I1" s="8">
        <v>-2</v>
      </c>
      <c r="J1" s="8">
        <v>-1</v>
      </c>
      <c r="K1" s="9">
        <v>0</v>
      </c>
      <c r="L1" s="8">
        <v>1</v>
      </c>
      <c r="M1" s="8">
        <v>2</v>
      </c>
      <c r="N1" s="8">
        <v>3</v>
      </c>
      <c r="O1" s="8">
        <v>4</v>
      </c>
      <c r="P1" s="8">
        <v>5</v>
      </c>
      <c r="Q1" s="8">
        <v>6</v>
      </c>
      <c r="R1" s="8">
        <v>7</v>
      </c>
      <c r="S1" s="8">
        <v>8</v>
      </c>
      <c r="T1" s="8">
        <v>9</v>
      </c>
      <c r="U1" s="8">
        <v>10</v>
      </c>
      <c r="V1" s="8">
        <v>11</v>
      </c>
      <c r="W1" s="8">
        <v>12</v>
      </c>
      <c r="X1" s="8">
        <v>13</v>
      </c>
      <c r="Y1" s="8">
        <v>14</v>
      </c>
      <c r="Z1" s="8">
        <v>15</v>
      </c>
      <c r="AA1" s="8">
        <v>16</v>
      </c>
      <c r="AB1" s="8">
        <v>17</v>
      </c>
      <c r="AC1" s="8">
        <v>18</v>
      </c>
      <c r="AD1" s="8">
        <v>19</v>
      </c>
      <c r="AE1" s="8">
        <v>20</v>
      </c>
      <c r="AF1" s="8">
        <v>21</v>
      </c>
      <c r="AG1" s="8">
        <v>22</v>
      </c>
      <c r="AH1" s="8">
        <v>23</v>
      </c>
      <c r="AI1" s="8">
        <v>24</v>
      </c>
      <c r="AJ1" s="8">
        <v>25</v>
      </c>
      <c r="AK1" s="8">
        <v>26</v>
      </c>
      <c r="AL1" s="8">
        <v>27</v>
      </c>
      <c r="AM1" s="8">
        <v>28</v>
      </c>
      <c r="AN1" s="8">
        <v>29</v>
      </c>
      <c r="AO1" s="8">
        <v>30</v>
      </c>
      <c r="AP1" s="8">
        <v>31</v>
      </c>
    </row>
    <row r="2" spans="1:42" s="63" customFormat="1" x14ac:dyDescent="0.2">
      <c r="A2" s="61" t="s">
        <v>45</v>
      </c>
      <c r="B2" s="62"/>
      <c r="F2" s="62"/>
      <c r="H2" s="63">
        <v>0</v>
      </c>
      <c r="I2" s="63">
        <v>0</v>
      </c>
      <c r="J2" s="63">
        <v>0</v>
      </c>
      <c r="K2" s="64">
        <v>0</v>
      </c>
      <c r="L2" s="63">
        <f>IF(L1&lt;=Calculator!$G$71,1,0)</f>
        <v>1</v>
      </c>
      <c r="M2" s="63">
        <f>IF(M1&lt;=Calculator!$G$71,1,0)</f>
        <v>1</v>
      </c>
      <c r="N2" s="63">
        <f>IF(N1&lt;=Calculator!$G$71,1,0)</f>
        <v>1</v>
      </c>
      <c r="O2" s="63">
        <f>IF(O1&lt;=Calculator!$G$71,1,0)</f>
        <v>1</v>
      </c>
      <c r="P2" s="63">
        <f>IF(P1&lt;=Calculator!$G$71,1,0)</f>
        <v>1</v>
      </c>
      <c r="Q2" s="63">
        <f>IF(Q1&lt;=Calculator!$G$71,1,0)</f>
        <v>1</v>
      </c>
      <c r="R2" s="63">
        <f>IF(R1&lt;=Calculator!$G$71,1,0)</f>
        <v>1</v>
      </c>
      <c r="S2" s="63">
        <f>IF(S1&lt;=Calculator!$G$71,1,0)</f>
        <v>1</v>
      </c>
      <c r="T2" s="63">
        <f>IF(T1&lt;=Calculator!$G$71,1,0)</f>
        <v>1</v>
      </c>
      <c r="U2" s="63">
        <f>IF(U1&lt;=Calculator!$G$71,1,0)</f>
        <v>1</v>
      </c>
      <c r="V2" s="63">
        <f>IF(V1&lt;=Calculator!$G$71,1,0)</f>
        <v>1</v>
      </c>
      <c r="W2" s="63">
        <f>IF(W1&lt;=Calculator!$G$71,1,0)</f>
        <v>1</v>
      </c>
      <c r="X2" s="63">
        <f>IF(X1&lt;=Calculator!$G$71,1,0)</f>
        <v>1</v>
      </c>
      <c r="Y2" s="63">
        <f>IF(Y1&lt;=Calculator!$G$71,1,0)</f>
        <v>1</v>
      </c>
      <c r="Z2" s="63">
        <f>IF(Z1&lt;=Calculator!$G$71,1,0)</f>
        <v>1</v>
      </c>
      <c r="AA2" s="63">
        <f>IF(AA1&lt;=Calculator!$G$71,1,0)</f>
        <v>1</v>
      </c>
      <c r="AB2" s="63">
        <f>IF(AB1&lt;=Calculator!$G$71,1,0)</f>
        <v>1</v>
      </c>
      <c r="AC2" s="63">
        <f>IF(AC1&lt;=Calculator!$G$71,1,0)</f>
        <v>1</v>
      </c>
      <c r="AD2" s="63">
        <f>IF(AD1&lt;=Calculator!$G$71,1,0)</f>
        <v>1</v>
      </c>
      <c r="AE2" s="63">
        <f>IF(AE1&lt;=Calculator!$G$71,1,0)</f>
        <v>1</v>
      </c>
      <c r="AF2" s="63">
        <f>IF(AF1&lt;=Calculator!$G$71,1,0)</f>
        <v>1</v>
      </c>
      <c r="AG2" s="63">
        <f>IF(AG1&lt;=Calculator!$G$71,1,0)</f>
        <v>1</v>
      </c>
      <c r="AH2" s="63">
        <f>IF(AH1&lt;=Calculator!$G$71,1,0)</f>
        <v>1</v>
      </c>
      <c r="AI2" s="63">
        <f>IF(AI1&lt;=Calculator!$G$71,1,0)</f>
        <v>1</v>
      </c>
      <c r="AJ2" s="63">
        <f>IF(AJ1&lt;=Calculator!$G$71,1,0)</f>
        <v>1</v>
      </c>
      <c r="AK2" s="63">
        <f>IF(AK1&lt;=Calculator!$G$71,1,0)</f>
        <v>1</v>
      </c>
      <c r="AL2" s="63">
        <f>IF(AL1&lt;=Calculator!$G$71,1,0)</f>
        <v>1</v>
      </c>
      <c r="AM2" s="63">
        <f>IF(AM1&lt;=Calculator!$G$71,1,0)</f>
        <v>1</v>
      </c>
      <c r="AN2" s="63">
        <f>IF(AN1&lt;=Calculator!$G$71,1,0)</f>
        <v>1</v>
      </c>
      <c r="AO2" s="63">
        <f>IF(AO1&lt;=Calculator!$G$71,1,0)</f>
        <v>1</v>
      </c>
      <c r="AP2" s="63">
        <f>IF(AP1&lt;=Calculator!$G$71,1,0)</f>
        <v>0</v>
      </c>
    </row>
    <row r="3" spans="1:42" s="63" customFormat="1" x14ac:dyDescent="0.2">
      <c r="A3" s="61" t="s">
        <v>46</v>
      </c>
      <c r="B3" s="62"/>
      <c r="F3" s="62"/>
      <c r="K3" s="64"/>
      <c r="L3" s="63">
        <v>0</v>
      </c>
      <c r="M3" s="63">
        <f>IF(L2+M2=1,1,0)</f>
        <v>0</v>
      </c>
      <c r="N3" s="63">
        <f t="shared" ref="N3:AP3" si="0">IF(M2+N2=1,1,0)</f>
        <v>0</v>
      </c>
      <c r="O3" s="63">
        <f t="shared" si="0"/>
        <v>0</v>
      </c>
      <c r="P3" s="63">
        <f t="shared" si="0"/>
        <v>0</v>
      </c>
      <c r="Q3" s="63">
        <f t="shared" si="0"/>
        <v>0</v>
      </c>
      <c r="R3" s="63">
        <f t="shared" si="0"/>
        <v>0</v>
      </c>
      <c r="S3" s="63">
        <f t="shared" si="0"/>
        <v>0</v>
      </c>
      <c r="T3" s="63">
        <f t="shared" si="0"/>
        <v>0</v>
      </c>
      <c r="U3" s="63">
        <f t="shared" si="0"/>
        <v>0</v>
      </c>
      <c r="V3" s="63">
        <f t="shared" si="0"/>
        <v>0</v>
      </c>
      <c r="W3" s="63">
        <f t="shared" si="0"/>
        <v>0</v>
      </c>
      <c r="X3" s="63">
        <f t="shared" si="0"/>
        <v>0</v>
      </c>
      <c r="Y3" s="63">
        <f t="shared" si="0"/>
        <v>0</v>
      </c>
      <c r="Z3" s="63">
        <f t="shared" si="0"/>
        <v>0</v>
      </c>
      <c r="AA3" s="63">
        <f t="shared" si="0"/>
        <v>0</v>
      </c>
      <c r="AB3" s="63">
        <f t="shared" si="0"/>
        <v>0</v>
      </c>
      <c r="AC3" s="63">
        <f t="shared" si="0"/>
        <v>0</v>
      </c>
      <c r="AD3" s="63">
        <f t="shared" si="0"/>
        <v>0</v>
      </c>
      <c r="AE3" s="63">
        <f t="shared" si="0"/>
        <v>0</v>
      </c>
      <c r="AF3" s="63">
        <f t="shared" si="0"/>
        <v>0</v>
      </c>
      <c r="AG3" s="63">
        <f t="shared" si="0"/>
        <v>0</v>
      </c>
      <c r="AH3" s="63">
        <f t="shared" si="0"/>
        <v>0</v>
      </c>
      <c r="AI3" s="63">
        <f t="shared" si="0"/>
        <v>0</v>
      </c>
      <c r="AJ3" s="63">
        <f t="shared" si="0"/>
        <v>0</v>
      </c>
      <c r="AK3" s="63">
        <f t="shared" si="0"/>
        <v>0</v>
      </c>
      <c r="AL3" s="63">
        <f t="shared" si="0"/>
        <v>0</v>
      </c>
      <c r="AM3" s="63">
        <f t="shared" si="0"/>
        <v>0</v>
      </c>
      <c r="AN3" s="63">
        <f t="shared" si="0"/>
        <v>0</v>
      </c>
      <c r="AO3" s="63">
        <f t="shared" si="0"/>
        <v>0</v>
      </c>
      <c r="AP3" s="63">
        <f t="shared" si="0"/>
        <v>1</v>
      </c>
    </row>
    <row r="4" spans="1:42" s="12" customFormat="1" x14ac:dyDescent="0.2">
      <c r="A4" s="14"/>
      <c r="B4" s="16"/>
      <c r="C4" s="16"/>
      <c r="D4" s="16"/>
      <c r="F4" s="11"/>
      <c r="K4" s="13"/>
    </row>
    <row r="5" spans="1:42" s="12" customFormat="1" x14ac:dyDescent="0.2">
      <c r="A5" s="10" t="s">
        <v>20</v>
      </c>
      <c r="B5" s="17"/>
      <c r="C5" s="17"/>
      <c r="D5" s="16"/>
      <c r="F5" s="11"/>
      <c r="K5" s="13"/>
    </row>
    <row r="6" spans="1:42" s="12" customFormat="1" ht="25.5" x14ac:dyDescent="0.2">
      <c r="A6" s="18" t="s">
        <v>43</v>
      </c>
      <c r="B6" s="19"/>
      <c r="C6" s="240">
        <f>Calculator!$G39*1000</f>
        <v>41700</v>
      </c>
      <c r="D6" s="20"/>
      <c r="F6" s="11"/>
      <c r="G6" s="30">
        <f>'LCOE Base'!G6</f>
        <v>1</v>
      </c>
      <c r="H6" s="30">
        <f>'LCOE Base'!H6</f>
        <v>0</v>
      </c>
      <c r="I6" s="30">
        <f>'LCOE Base'!I6</f>
        <v>0</v>
      </c>
      <c r="J6" s="30">
        <f>'LCOE Base'!J6</f>
        <v>0</v>
      </c>
      <c r="K6" s="30">
        <f>'LCOE Base'!K6</f>
        <v>0</v>
      </c>
      <c r="L6" s="21">
        <v>0</v>
      </c>
    </row>
    <row r="7" spans="1:42" s="12" customFormat="1" ht="12.75" customHeight="1" x14ac:dyDescent="0.2">
      <c r="A7" s="18" t="s">
        <v>44</v>
      </c>
      <c r="B7" s="23"/>
      <c r="C7" s="240">
        <f>Calculator!$G40*1000</f>
        <v>41700</v>
      </c>
      <c r="D7" s="20"/>
      <c r="F7" s="11"/>
      <c r="G7" s="30">
        <f>'LCOE Base'!G7</f>
        <v>0</v>
      </c>
      <c r="H7" s="30">
        <f>'LCOE Base'!H7</f>
        <v>0.1919016895660326</v>
      </c>
      <c r="I7" s="30">
        <f>'LCOE Base'!I7</f>
        <v>0.24092973866691347</v>
      </c>
      <c r="J7" s="30">
        <f>'LCOE Base'!J7</f>
        <v>0.26830932687308429</v>
      </c>
      <c r="K7" s="30">
        <f>'LCOE Base'!K7</f>
        <v>0.27385924489396984</v>
      </c>
      <c r="L7" s="21">
        <v>2.5000000000000005E-2</v>
      </c>
    </row>
    <row r="8" spans="1:42" s="12" customFormat="1" ht="12.75" customHeight="1" x14ac:dyDescent="0.2">
      <c r="A8" s="18" t="s">
        <v>25</v>
      </c>
      <c r="B8" s="23"/>
      <c r="C8" s="240">
        <f>Calculator!$G47*1000</f>
        <v>37800</v>
      </c>
      <c r="D8" s="20"/>
      <c r="F8" s="11"/>
      <c r="G8" s="30">
        <f>'LCOE Base'!G8</f>
        <v>0</v>
      </c>
      <c r="H8" s="30">
        <f>'LCOE Base'!H8</f>
        <v>0.25</v>
      </c>
      <c r="I8" s="30">
        <f>'LCOE Base'!I8</f>
        <v>0.25</v>
      </c>
      <c r="J8" s="30">
        <f>'LCOE Base'!J8</f>
        <v>0.25</v>
      </c>
      <c r="K8" s="30">
        <f>'LCOE Base'!K8</f>
        <v>0.25</v>
      </c>
      <c r="L8" s="21">
        <v>0</v>
      </c>
    </row>
    <row r="9" spans="1:42" s="12" customFormat="1" x14ac:dyDescent="0.2">
      <c r="A9" s="18" t="s">
        <v>14</v>
      </c>
      <c r="B9" s="23"/>
      <c r="C9" s="240">
        <f>Calculator!$G41*1000</f>
        <v>811400</v>
      </c>
      <c r="D9" s="20"/>
      <c r="F9" s="11"/>
      <c r="G9" s="30">
        <f>'LCOE Base'!G9</f>
        <v>0</v>
      </c>
      <c r="H9" s="30">
        <f>'LCOE Base'!H9</f>
        <v>3.1558886299983763E-3</v>
      </c>
      <c r="I9" s="30">
        <f>'LCOE Base'!I9</f>
        <v>0.17442881516390984</v>
      </c>
      <c r="J9" s="30">
        <f>'LCOE Base'!J9</f>
        <v>0.38403654897026329</v>
      </c>
      <c r="K9" s="30">
        <f>'LCOE Base'!K9</f>
        <v>0.41337874723582851</v>
      </c>
      <c r="L9" s="21">
        <v>2.5000000000000001E-2</v>
      </c>
    </row>
    <row r="10" spans="1:42" s="12" customFormat="1" x14ac:dyDescent="0.2">
      <c r="A10" s="18" t="s">
        <v>69</v>
      </c>
      <c r="B10" s="23"/>
      <c r="C10" s="240">
        <f>Calculator!$G42*1000</f>
        <v>70800</v>
      </c>
      <c r="D10" s="20"/>
      <c r="F10" s="11"/>
      <c r="G10" s="30">
        <f>'LCOE Base'!G10</f>
        <v>0</v>
      </c>
      <c r="H10" s="30">
        <f>'LCOE Base'!H10</f>
        <v>3.1558886299983763E-3</v>
      </c>
      <c r="I10" s="30">
        <f>'LCOE Base'!I10</f>
        <v>0.17442881516390984</v>
      </c>
      <c r="J10" s="30">
        <f>'LCOE Base'!J10</f>
        <v>0.38403654897026329</v>
      </c>
      <c r="K10" s="30">
        <f>'LCOE Base'!K10</f>
        <v>0.41337874723582851</v>
      </c>
      <c r="L10" s="21">
        <v>2.5000000000000001E-2</v>
      </c>
    </row>
    <row r="11" spans="1:42" s="12" customFormat="1" x14ac:dyDescent="0.2">
      <c r="A11" s="18" t="s">
        <v>15</v>
      </c>
      <c r="B11" s="23"/>
      <c r="C11" s="240">
        <f>Calculator!$G43*1000</f>
        <v>178200</v>
      </c>
      <c r="D11" s="20"/>
      <c r="F11" s="11"/>
      <c r="G11" s="30">
        <f>'LCOE Base'!G11</f>
        <v>0</v>
      </c>
      <c r="H11" s="30">
        <f>'LCOE Base'!H11</f>
        <v>0</v>
      </c>
      <c r="I11" s="30">
        <f>'LCOE Base'!I11</f>
        <v>6.6460142658129148E-2</v>
      </c>
      <c r="J11" s="30">
        <f>'LCOE Base'!J11</f>
        <v>0.3974912543241248</v>
      </c>
      <c r="K11" s="30">
        <f>'LCOE Base'!K11</f>
        <v>0.51104860301774613</v>
      </c>
      <c r="L11" s="21">
        <v>2.5000000000000001E-2</v>
      </c>
    </row>
    <row r="12" spans="1:42" s="12" customFormat="1" x14ac:dyDescent="0.2">
      <c r="A12" s="18" t="s">
        <v>16</v>
      </c>
      <c r="B12" s="24"/>
      <c r="C12" s="240">
        <f>Calculator!$G44*1000</f>
        <v>22700</v>
      </c>
      <c r="D12" s="25"/>
      <c r="F12" s="11"/>
      <c r="G12" s="30">
        <f>'LCOE Base'!G12</f>
        <v>0</v>
      </c>
      <c r="H12" s="30">
        <f>'LCOE Base'!H12</f>
        <v>1.9365640179612301E-2</v>
      </c>
      <c r="I12" s="30">
        <f>'LCOE Base'!I12</f>
        <v>0.95563435982038758</v>
      </c>
      <c r="J12" s="30">
        <f>'LCOE Base'!J12</f>
        <v>2.5000000000000001E-2</v>
      </c>
      <c r="K12" s="30">
        <f>'LCOE Base'!K12</f>
        <v>0</v>
      </c>
      <c r="L12" s="21">
        <v>0</v>
      </c>
    </row>
    <row r="13" spans="1:42" s="12" customFormat="1" x14ac:dyDescent="0.2">
      <c r="A13" s="18" t="s">
        <v>17</v>
      </c>
      <c r="B13" s="24"/>
      <c r="C13" s="240">
        <f>Calculator!$G45*1000</f>
        <v>131100</v>
      </c>
      <c r="D13" s="25"/>
      <c r="F13" s="11"/>
      <c r="G13" s="30">
        <f>'LCOE Base'!G13</f>
        <v>0</v>
      </c>
      <c r="H13" s="30">
        <f>'LCOE Base'!H13</f>
        <v>0</v>
      </c>
      <c r="I13" s="30">
        <f>'LCOE Base'!I13</f>
        <v>2.5765578531171144E-3</v>
      </c>
      <c r="J13" s="30">
        <f>'LCOE Base'!J13</f>
        <v>0.32838802523731137</v>
      </c>
      <c r="K13" s="30">
        <f>'LCOE Base'!K13</f>
        <v>0.64403541690957156</v>
      </c>
      <c r="L13" s="21">
        <v>2.5000000000000001E-2</v>
      </c>
    </row>
    <row r="14" spans="1:42" s="12" customFormat="1" x14ac:dyDescent="0.2">
      <c r="A14" s="18" t="s">
        <v>55</v>
      </c>
      <c r="B14" s="24"/>
      <c r="C14" s="240">
        <f>Calculator!$G46*1000</f>
        <v>332300</v>
      </c>
      <c r="D14" s="25"/>
      <c r="F14" s="11"/>
      <c r="G14" s="30">
        <f>'LCOE Base'!G14</f>
        <v>0</v>
      </c>
      <c r="H14" s="30">
        <f>'LCOE Base'!H14</f>
        <v>0.22</v>
      </c>
      <c r="I14" s="30">
        <f>'LCOE Base'!I14</f>
        <v>0.45</v>
      </c>
      <c r="J14" s="30">
        <f>'LCOE Base'!J14</f>
        <v>0.33</v>
      </c>
      <c r="K14" s="30">
        <f>'LCOE Base'!K14</f>
        <v>0</v>
      </c>
      <c r="L14" s="21">
        <v>0</v>
      </c>
    </row>
    <row r="15" spans="1:42" s="12" customFormat="1" x14ac:dyDescent="0.2">
      <c r="A15" s="18" t="s">
        <v>54</v>
      </c>
      <c r="B15" s="24"/>
      <c r="C15" s="240">
        <f>Calculator!$G48*1000</f>
        <v>79410</v>
      </c>
      <c r="D15" s="25"/>
      <c r="F15" s="11"/>
      <c r="G15" s="30">
        <f>'LCOE Base'!G15</f>
        <v>0</v>
      </c>
      <c r="H15" s="30">
        <f>'LCOE Base'!H15</f>
        <v>0</v>
      </c>
      <c r="I15" s="30">
        <f>'LCOE Base'!I15</f>
        <v>2.5765578531171144E-3</v>
      </c>
      <c r="J15" s="30">
        <f>'LCOE Base'!J15</f>
        <v>0.32838802523731137</v>
      </c>
      <c r="K15" s="30">
        <f>'LCOE Base'!K15</f>
        <v>0.64403541690957156</v>
      </c>
      <c r="L15" s="21">
        <v>2.5000000000000001E-2</v>
      </c>
    </row>
    <row r="16" spans="1:42" s="28" customFormat="1" x14ac:dyDescent="0.2">
      <c r="A16" s="26" t="s">
        <v>145</v>
      </c>
      <c r="B16" s="242">
        <f>C16*Calculator!$G$72</f>
        <v>1747110000</v>
      </c>
      <c r="C16" s="242">
        <f>SUM(C6:C15)</f>
        <v>1747110</v>
      </c>
      <c r="D16" s="27"/>
      <c r="F16" s="29"/>
      <c r="G16" s="243">
        <f>SUMPRODUCT($C6:$C15,G6:G15)*Calculator!$G$72</f>
        <v>41700000</v>
      </c>
      <c r="H16" s="243">
        <f>SUMPRODUCT($C6:$C15,H6:H15)*Calculator!$G$72</f>
        <v>93782025.436365336</v>
      </c>
      <c r="I16" s="243">
        <f>SUMPRODUCT($C6:$C15,I6:I15)*Calculator!$G$72</f>
        <v>356991359.42327261</v>
      </c>
      <c r="J16" s="243">
        <f>SUMPRODUCT($C6:$C15,J6:J15)*Calculator!$G$72</f>
        <v>609623947.14543939</v>
      </c>
      <c r="K16" s="244">
        <f>SUMPRODUCT($C6:$C15,K6:K15)*Calculator!$G$72</f>
        <v>612197417.99492276</v>
      </c>
      <c r="L16" s="243">
        <f>SUMPRODUCT($C6:$C15,L6:L15)*Calculator!$G$72</f>
        <v>32815250</v>
      </c>
      <c r="M16" s="243">
        <f>SUMPRODUCT($C6:$C15,M6:M15)*Calculator!$G$72</f>
        <v>0</v>
      </c>
      <c r="N16" s="243">
        <f>SUMPRODUCT($C6:$C15,N6:N15)*Calculator!$G$72</f>
        <v>0</v>
      </c>
      <c r="O16" s="243">
        <f>SUMPRODUCT($C6:$C15,O6:O15)*Calculator!$G$72</f>
        <v>0</v>
      </c>
      <c r="P16" s="243">
        <f>SUMPRODUCT($C6:$C15,P6:P15)*Calculator!$G$72</f>
        <v>0</v>
      </c>
      <c r="Q16" s="243">
        <f>SUMPRODUCT($C6:$C15,Q6:Q15)*Calculator!$G$72</f>
        <v>0</v>
      </c>
      <c r="R16" s="243">
        <f>SUMPRODUCT($C6:$C15,R6:R15)*Calculator!$G$72</f>
        <v>0</v>
      </c>
      <c r="S16" s="243">
        <f>SUMPRODUCT($C6:$C15,S6:S15)*Calculator!$G$72</f>
        <v>0</v>
      </c>
      <c r="T16" s="243">
        <f>SUMPRODUCT($C6:$C15,T6:T15)*Calculator!$G$72</f>
        <v>0</v>
      </c>
      <c r="U16" s="243">
        <f>SUMPRODUCT($C6:$C15,U6:U15)*Calculator!$G$72</f>
        <v>0</v>
      </c>
      <c r="V16" s="243">
        <f>SUMPRODUCT($C6:$C15,V6:V15)*Calculator!$G$72</f>
        <v>0</v>
      </c>
      <c r="W16" s="243">
        <f>SUMPRODUCT($C6:$C15,W6:W15)*Calculator!$G$72</f>
        <v>0</v>
      </c>
      <c r="X16" s="243">
        <f>SUMPRODUCT($C6:$C15,X6:X15)*Calculator!$G$72</f>
        <v>0</v>
      </c>
      <c r="Y16" s="243">
        <f>SUMPRODUCT($C6:$C15,Y6:Y15)*Calculator!$G$72</f>
        <v>0</v>
      </c>
      <c r="Z16" s="243">
        <f>SUMPRODUCT($C6:$C15,Z6:Z15)*Calculator!$G$72</f>
        <v>0</v>
      </c>
      <c r="AA16" s="243">
        <f>SUMPRODUCT($C6:$C15,AA6:AA15)*Calculator!$G$72</f>
        <v>0</v>
      </c>
      <c r="AB16" s="243">
        <f>SUMPRODUCT($C6:$C15,AB6:AB15)*Calculator!$G$72</f>
        <v>0</v>
      </c>
      <c r="AC16" s="243">
        <f>SUMPRODUCT($C6:$C15,AC6:AC15)*Calculator!$G$72</f>
        <v>0</v>
      </c>
      <c r="AD16" s="243">
        <f>SUMPRODUCT($C6:$C15,AD6:AD15)*Calculator!$G$72</f>
        <v>0</v>
      </c>
      <c r="AE16" s="243">
        <f>SUMPRODUCT($C6:$C15,AE6:AE15)*Calculator!$G$72</f>
        <v>0</v>
      </c>
      <c r="AF16" s="243">
        <f>SUMPRODUCT($C6:$C15,AF6:AF15)*Calculator!$G$72</f>
        <v>0</v>
      </c>
      <c r="AG16" s="243">
        <f>SUMPRODUCT($C6:$C15,AG6:AG15)*Calculator!$G$72</f>
        <v>0</v>
      </c>
      <c r="AH16" s="243">
        <f>SUMPRODUCT($C6:$C15,AH6:AH15)*Calculator!$G$72</f>
        <v>0</v>
      </c>
      <c r="AI16" s="243">
        <f>SUMPRODUCT($C6:$C15,AI6:AI15)*Calculator!$G$72</f>
        <v>0</v>
      </c>
      <c r="AJ16" s="243">
        <f>SUMPRODUCT($C6:$C15,AJ6:AJ15)*Calculator!$G$72</f>
        <v>0</v>
      </c>
      <c r="AK16" s="243">
        <f>SUMPRODUCT($C6:$C15,AK6:AK15)*Calculator!$G$72</f>
        <v>0</v>
      </c>
      <c r="AL16" s="243">
        <f>SUMPRODUCT($C6:$C15,AL6:AL15)*Calculator!$G$72</f>
        <v>0</v>
      </c>
      <c r="AM16" s="243">
        <f>SUMPRODUCT($C6:$C15,AM6:AM15)*Calculator!$G$72</f>
        <v>0</v>
      </c>
      <c r="AN16" s="243">
        <f>SUMPRODUCT($C6:$C15,AN6:AN15)*Calculator!$G$72</f>
        <v>0</v>
      </c>
      <c r="AO16" s="243">
        <f>SUMPRODUCT($C6:$C15,AO6:AO15)*Calculator!$G$72</f>
        <v>0</v>
      </c>
      <c r="AP16" s="243">
        <f>SUMPRODUCT($C6:$C15,AP6:AP15)*Calculator!$G$72</f>
        <v>0</v>
      </c>
    </row>
    <row r="17" spans="1:42" s="12" customFormat="1" x14ac:dyDescent="0.2">
      <c r="A17" s="14"/>
      <c r="B17" s="24"/>
      <c r="C17" s="24"/>
      <c r="D17" s="25"/>
      <c r="F17" s="11"/>
      <c r="G17" s="21"/>
      <c r="H17" s="21"/>
      <c r="I17" s="21"/>
      <c r="J17" s="21"/>
      <c r="K17" s="67"/>
      <c r="L17" s="21"/>
    </row>
    <row r="18" spans="1:42" s="12" customFormat="1" x14ac:dyDescent="0.2">
      <c r="A18" s="10" t="s">
        <v>21</v>
      </c>
      <c r="B18" s="24"/>
      <c r="C18" s="24"/>
      <c r="D18" s="25"/>
      <c r="F18" s="11"/>
      <c r="G18" s="30"/>
      <c r="H18" s="30"/>
      <c r="I18" s="30"/>
      <c r="J18" s="30"/>
      <c r="K18" s="31"/>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row>
    <row r="19" spans="1:42" s="12" customFormat="1" x14ac:dyDescent="0.2">
      <c r="A19" s="18" t="s">
        <v>30</v>
      </c>
      <c r="B19" s="24"/>
      <c r="C19" s="240">
        <f>Calculator!$G52*1000</f>
        <v>11300</v>
      </c>
      <c r="D19" s="20"/>
      <c r="F19" s="32"/>
      <c r="G19" s="21">
        <f t="shared" ref="G19:K21" si="1">G$2</f>
        <v>0</v>
      </c>
      <c r="H19" s="21">
        <f t="shared" si="1"/>
        <v>0</v>
      </c>
      <c r="I19" s="21">
        <f t="shared" si="1"/>
        <v>0</v>
      </c>
      <c r="J19" s="21">
        <f t="shared" si="1"/>
        <v>0</v>
      </c>
      <c r="K19" s="22">
        <f t="shared" si="1"/>
        <v>0</v>
      </c>
      <c r="L19" s="21">
        <f>L$2</f>
        <v>1</v>
      </c>
      <c r="M19" s="21">
        <f t="shared" ref="M19:AP21" si="2">M$2</f>
        <v>1</v>
      </c>
      <c r="N19" s="21">
        <f t="shared" si="2"/>
        <v>1</v>
      </c>
      <c r="O19" s="21">
        <f t="shared" si="2"/>
        <v>1</v>
      </c>
      <c r="P19" s="21">
        <f t="shared" si="2"/>
        <v>1</v>
      </c>
      <c r="Q19" s="21">
        <f t="shared" si="2"/>
        <v>1</v>
      </c>
      <c r="R19" s="21">
        <f t="shared" si="2"/>
        <v>1</v>
      </c>
      <c r="S19" s="21">
        <f t="shared" si="2"/>
        <v>1</v>
      </c>
      <c r="T19" s="21">
        <f t="shared" si="2"/>
        <v>1</v>
      </c>
      <c r="U19" s="21">
        <f t="shared" si="2"/>
        <v>1</v>
      </c>
      <c r="V19" s="21">
        <f t="shared" si="2"/>
        <v>1</v>
      </c>
      <c r="W19" s="21">
        <f t="shared" si="2"/>
        <v>1</v>
      </c>
      <c r="X19" s="21">
        <f t="shared" si="2"/>
        <v>1</v>
      </c>
      <c r="Y19" s="21">
        <f t="shared" si="2"/>
        <v>1</v>
      </c>
      <c r="Z19" s="21">
        <f t="shared" si="2"/>
        <v>1</v>
      </c>
      <c r="AA19" s="21">
        <f t="shared" si="2"/>
        <v>1</v>
      </c>
      <c r="AB19" s="21">
        <f t="shared" si="2"/>
        <v>1</v>
      </c>
      <c r="AC19" s="21">
        <f t="shared" si="2"/>
        <v>1</v>
      </c>
      <c r="AD19" s="21">
        <f t="shared" si="2"/>
        <v>1</v>
      </c>
      <c r="AE19" s="21">
        <f t="shared" si="2"/>
        <v>1</v>
      </c>
      <c r="AF19" s="21">
        <f t="shared" si="2"/>
        <v>1</v>
      </c>
      <c r="AG19" s="21">
        <f t="shared" si="2"/>
        <v>1</v>
      </c>
      <c r="AH19" s="21">
        <f t="shared" si="2"/>
        <v>1</v>
      </c>
      <c r="AI19" s="21">
        <f t="shared" si="2"/>
        <v>1</v>
      </c>
      <c r="AJ19" s="21">
        <f t="shared" si="2"/>
        <v>1</v>
      </c>
      <c r="AK19" s="21">
        <f t="shared" si="2"/>
        <v>1</v>
      </c>
      <c r="AL19" s="21">
        <f t="shared" si="2"/>
        <v>1</v>
      </c>
      <c r="AM19" s="21">
        <f t="shared" si="2"/>
        <v>1</v>
      </c>
      <c r="AN19" s="21">
        <f t="shared" si="2"/>
        <v>1</v>
      </c>
      <c r="AO19" s="21">
        <f t="shared" si="2"/>
        <v>1</v>
      </c>
      <c r="AP19" s="21">
        <f t="shared" si="2"/>
        <v>0</v>
      </c>
    </row>
    <row r="20" spans="1:42" s="12" customFormat="1" x14ac:dyDescent="0.2">
      <c r="A20" s="18" t="s">
        <v>26</v>
      </c>
      <c r="B20" s="24"/>
      <c r="C20" s="240">
        <f>Calculator!$G53*1000</f>
        <v>3500</v>
      </c>
      <c r="D20" s="20"/>
      <c r="F20" s="32"/>
      <c r="G20" s="21">
        <f t="shared" si="1"/>
        <v>0</v>
      </c>
      <c r="H20" s="21">
        <f t="shared" si="1"/>
        <v>0</v>
      </c>
      <c r="I20" s="21">
        <f t="shared" si="1"/>
        <v>0</v>
      </c>
      <c r="J20" s="21">
        <f t="shared" si="1"/>
        <v>0</v>
      </c>
      <c r="K20" s="22">
        <f t="shared" si="1"/>
        <v>0</v>
      </c>
      <c r="L20" s="21">
        <f>L$2</f>
        <v>1</v>
      </c>
      <c r="M20" s="21">
        <f t="shared" si="2"/>
        <v>1</v>
      </c>
      <c r="N20" s="21">
        <f t="shared" si="2"/>
        <v>1</v>
      </c>
      <c r="O20" s="21">
        <f t="shared" si="2"/>
        <v>1</v>
      </c>
      <c r="P20" s="21">
        <f t="shared" si="2"/>
        <v>1</v>
      </c>
      <c r="Q20" s="21">
        <f t="shared" si="2"/>
        <v>1</v>
      </c>
      <c r="R20" s="21">
        <f t="shared" si="2"/>
        <v>1</v>
      </c>
      <c r="S20" s="21">
        <f t="shared" si="2"/>
        <v>1</v>
      </c>
      <c r="T20" s="21">
        <f t="shared" si="2"/>
        <v>1</v>
      </c>
      <c r="U20" s="21">
        <f t="shared" si="2"/>
        <v>1</v>
      </c>
      <c r="V20" s="21">
        <f t="shared" si="2"/>
        <v>1</v>
      </c>
      <c r="W20" s="21">
        <f t="shared" si="2"/>
        <v>1</v>
      </c>
      <c r="X20" s="21">
        <f t="shared" si="2"/>
        <v>1</v>
      </c>
      <c r="Y20" s="21">
        <f t="shared" si="2"/>
        <v>1</v>
      </c>
      <c r="Z20" s="21">
        <f t="shared" si="2"/>
        <v>1</v>
      </c>
      <c r="AA20" s="21">
        <f t="shared" si="2"/>
        <v>1</v>
      </c>
      <c r="AB20" s="21">
        <f t="shared" si="2"/>
        <v>1</v>
      </c>
      <c r="AC20" s="21">
        <f t="shared" si="2"/>
        <v>1</v>
      </c>
      <c r="AD20" s="21">
        <f t="shared" si="2"/>
        <v>1</v>
      </c>
      <c r="AE20" s="21">
        <f t="shared" si="2"/>
        <v>1</v>
      </c>
      <c r="AF20" s="21">
        <f t="shared" si="2"/>
        <v>1</v>
      </c>
      <c r="AG20" s="21">
        <f t="shared" si="2"/>
        <v>1</v>
      </c>
      <c r="AH20" s="21">
        <f t="shared" si="2"/>
        <v>1</v>
      </c>
      <c r="AI20" s="21">
        <f t="shared" si="2"/>
        <v>1</v>
      </c>
      <c r="AJ20" s="21">
        <f t="shared" si="2"/>
        <v>1</v>
      </c>
      <c r="AK20" s="21">
        <f t="shared" si="2"/>
        <v>1</v>
      </c>
      <c r="AL20" s="21">
        <f t="shared" si="2"/>
        <v>1</v>
      </c>
      <c r="AM20" s="21">
        <f t="shared" si="2"/>
        <v>1</v>
      </c>
      <c r="AN20" s="21">
        <f t="shared" si="2"/>
        <v>1</v>
      </c>
      <c r="AO20" s="21">
        <f t="shared" si="2"/>
        <v>1</v>
      </c>
      <c r="AP20" s="21">
        <f t="shared" si="2"/>
        <v>0</v>
      </c>
    </row>
    <row r="21" spans="1:42" s="12" customFormat="1" x14ac:dyDescent="0.2">
      <c r="A21" s="18" t="s">
        <v>18</v>
      </c>
      <c r="B21" s="24"/>
      <c r="C21" s="240">
        <f>Calculator!$G54*1000</f>
        <v>12300</v>
      </c>
      <c r="D21" s="20"/>
      <c r="F21" s="32"/>
      <c r="G21" s="21">
        <f t="shared" si="1"/>
        <v>0</v>
      </c>
      <c r="H21" s="21">
        <f t="shared" si="1"/>
        <v>0</v>
      </c>
      <c r="I21" s="21">
        <f t="shared" si="1"/>
        <v>0</v>
      </c>
      <c r="J21" s="21">
        <f t="shared" si="1"/>
        <v>0</v>
      </c>
      <c r="K21" s="33">
        <f t="shared" si="1"/>
        <v>0</v>
      </c>
      <c r="L21" s="21">
        <f>L$2</f>
        <v>1</v>
      </c>
      <c r="M21" s="21">
        <f t="shared" si="2"/>
        <v>1</v>
      </c>
      <c r="N21" s="21">
        <f t="shared" si="2"/>
        <v>1</v>
      </c>
      <c r="O21" s="21">
        <f t="shared" si="2"/>
        <v>1</v>
      </c>
      <c r="P21" s="21">
        <f t="shared" si="2"/>
        <v>1</v>
      </c>
      <c r="Q21" s="21">
        <f t="shared" si="2"/>
        <v>1</v>
      </c>
      <c r="R21" s="21">
        <f t="shared" si="2"/>
        <v>1</v>
      </c>
      <c r="S21" s="21">
        <f t="shared" si="2"/>
        <v>1</v>
      </c>
      <c r="T21" s="21">
        <f t="shared" si="2"/>
        <v>1</v>
      </c>
      <c r="U21" s="21">
        <f t="shared" si="2"/>
        <v>1</v>
      </c>
      <c r="V21" s="21">
        <f t="shared" si="2"/>
        <v>1</v>
      </c>
      <c r="W21" s="21">
        <f t="shared" si="2"/>
        <v>1</v>
      </c>
      <c r="X21" s="21">
        <f t="shared" si="2"/>
        <v>1</v>
      </c>
      <c r="Y21" s="21">
        <f t="shared" si="2"/>
        <v>1</v>
      </c>
      <c r="Z21" s="21">
        <f t="shared" si="2"/>
        <v>1</v>
      </c>
      <c r="AA21" s="21">
        <f t="shared" si="2"/>
        <v>1</v>
      </c>
      <c r="AB21" s="21">
        <f t="shared" si="2"/>
        <v>1</v>
      </c>
      <c r="AC21" s="21">
        <f t="shared" si="2"/>
        <v>1</v>
      </c>
      <c r="AD21" s="21">
        <f t="shared" si="2"/>
        <v>1</v>
      </c>
      <c r="AE21" s="21">
        <f t="shared" si="2"/>
        <v>1</v>
      </c>
      <c r="AF21" s="21">
        <f t="shared" si="2"/>
        <v>1</v>
      </c>
      <c r="AG21" s="21">
        <f t="shared" si="2"/>
        <v>1</v>
      </c>
      <c r="AH21" s="21">
        <f t="shared" si="2"/>
        <v>1</v>
      </c>
      <c r="AI21" s="21">
        <f t="shared" si="2"/>
        <v>1</v>
      </c>
      <c r="AJ21" s="21">
        <f t="shared" si="2"/>
        <v>1</v>
      </c>
      <c r="AK21" s="21">
        <f t="shared" si="2"/>
        <v>1</v>
      </c>
      <c r="AL21" s="21">
        <f t="shared" si="2"/>
        <v>1</v>
      </c>
      <c r="AM21" s="21">
        <f t="shared" si="2"/>
        <v>1</v>
      </c>
      <c r="AN21" s="21">
        <f t="shared" si="2"/>
        <v>1</v>
      </c>
      <c r="AO21" s="21">
        <f t="shared" si="2"/>
        <v>1</v>
      </c>
      <c r="AP21" s="21">
        <f t="shared" si="2"/>
        <v>0</v>
      </c>
    </row>
    <row r="22" spans="1:42" s="28" customFormat="1" x14ac:dyDescent="0.2">
      <c r="A22" s="26" t="s">
        <v>146</v>
      </c>
      <c r="B22" s="242">
        <f>C22*Calculator!$G$72</f>
        <v>27100000</v>
      </c>
      <c r="C22" s="242">
        <f>SUM(C19:C21)</f>
        <v>27100</v>
      </c>
      <c r="D22" s="27"/>
      <c r="F22" s="34"/>
      <c r="G22" s="243">
        <f>(SUMPRODUCT($C19:$C19,G19:G19)+SUMPRODUCT($C$20:$C$21,G20:G21))*Calculator!$G$72</f>
        <v>0</v>
      </c>
      <c r="H22" s="243">
        <f>(SUMPRODUCT($C19:$C19,H19:H19)+SUMPRODUCT($C$20:$C$21,H20:H21))*Calculator!$G$72</f>
        <v>0</v>
      </c>
      <c r="I22" s="243">
        <f>(SUMPRODUCT($C19:$C19,I19:I19)+SUMPRODUCT($C$20:$C$21,I20:I21))*Calculator!$G$72</f>
        <v>0</v>
      </c>
      <c r="J22" s="243">
        <f>(SUMPRODUCT($C19:$C19,J19:J19)+SUMPRODUCT($C$20:$C$21,J20:J21))*Calculator!$G$72</f>
        <v>0</v>
      </c>
      <c r="K22" s="243">
        <f>(SUMPRODUCT($C19:$C19,K19:K19)+SUMPRODUCT($C$20:$C$21,K20:K21))*Calculator!$G$72</f>
        <v>0</v>
      </c>
      <c r="L22" s="243">
        <f>(SUMPRODUCT($C19:$C19,L19:L19)+SUMPRODUCT($C$20:$C$21,L20:L21))*Calculator!$G$72</f>
        <v>27100000</v>
      </c>
      <c r="M22" s="243">
        <f>(SUMPRODUCT($C19:$C19,M19:M19)+SUMPRODUCT($C$20:$C$21,M20:M21))*Calculator!$G$72</f>
        <v>27100000</v>
      </c>
      <c r="N22" s="243">
        <f>(SUMPRODUCT($C19:$C19,N19:N19)+SUMPRODUCT($C$20:$C$21,N20:N21))*Calculator!$G$72</f>
        <v>27100000</v>
      </c>
      <c r="O22" s="243">
        <f>(SUMPRODUCT($C19:$C19,O19:O19)+SUMPRODUCT($C$20:$C$21,O20:O21))*Calculator!$G$72</f>
        <v>27100000</v>
      </c>
      <c r="P22" s="243">
        <f>(SUMPRODUCT($C19:$C19,P19:P19)+SUMPRODUCT($C$20:$C$21,P20:P21))*Calculator!$G$72</f>
        <v>27100000</v>
      </c>
      <c r="Q22" s="243">
        <f>(SUMPRODUCT($C19:$C19,Q19:Q19)+SUMPRODUCT($C$20:$C$21,Q20:Q21))*Calculator!$G$72</f>
        <v>27100000</v>
      </c>
      <c r="R22" s="243">
        <f>(SUMPRODUCT($C19:$C19,R19:R19)+SUMPRODUCT($C$20:$C$21,R20:R21))*Calculator!$G$72</f>
        <v>27100000</v>
      </c>
      <c r="S22" s="243">
        <f>(SUMPRODUCT($C19:$C19,S19:S19)+SUMPRODUCT($C$20:$C$21,S20:S21))*Calculator!$G$72</f>
        <v>27100000</v>
      </c>
      <c r="T22" s="243">
        <f>(SUMPRODUCT($C19:$C19,T19:T19)+SUMPRODUCT($C$20:$C$21,T20:T21))*Calculator!$G$72</f>
        <v>27100000</v>
      </c>
      <c r="U22" s="243">
        <f>(SUMPRODUCT($C19:$C19,U19:U19)+SUMPRODUCT($C$20:$C$21,U20:U21))*Calculator!$G$72</f>
        <v>27100000</v>
      </c>
      <c r="V22" s="243">
        <f>(SUMPRODUCT($C19:$C19,V19:V19)+SUMPRODUCT($C$20:$C$21,V20:V21))*Calculator!$G$72</f>
        <v>27100000</v>
      </c>
      <c r="W22" s="243">
        <f>(SUMPRODUCT($C19:$C19,W19:W19)+SUMPRODUCT($C$20:$C$21,W20:W21))*Calculator!$G$72</f>
        <v>27100000</v>
      </c>
      <c r="X22" s="243">
        <f>(SUMPRODUCT($C19:$C19,X19:X19)+SUMPRODUCT($C$20:$C$21,X20:X21))*Calculator!$G$72</f>
        <v>27100000</v>
      </c>
      <c r="Y22" s="243">
        <f>(SUMPRODUCT($C19:$C19,Y19:Y19)+SUMPRODUCT($C$20:$C$21,Y20:Y21))*Calculator!$G$72</f>
        <v>27100000</v>
      </c>
      <c r="Z22" s="243">
        <f>(SUMPRODUCT($C19:$C19,Z19:Z19)+SUMPRODUCT($C$20:$C$21,Z20:Z21))*Calculator!$G$72</f>
        <v>27100000</v>
      </c>
      <c r="AA22" s="243">
        <f>(SUMPRODUCT($C19:$C19,AA19:AA19)+SUMPRODUCT($C$20:$C$21,AA20:AA21))*Calculator!$G$72</f>
        <v>27100000</v>
      </c>
      <c r="AB22" s="243">
        <f>(SUMPRODUCT($C19:$C19,AB19:AB19)+SUMPRODUCT($C$20:$C$21,AB20:AB21))*Calculator!$G$72</f>
        <v>27100000</v>
      </c>
      <c r="AC22" s="243">
        <f>(SUMPRODUCT($C19:$C19,AC19:AC19)+SUMPRODUCT($C$20:$C$21,AC20:AC21))*Calculator!$G$72</f>
        <v>27100000</v>
      </c>
      <c r="AD22" s="243">
        <f>(SUMPRODUCT($C19:$C19,AD19:AD19)+SUMPRODUCT($C$20:$C$21,AD20:AD21))*Calculator!$G$72</f>
        <v>27100000</v>
      </c>
      <c r="AE22" s="243">
        <f>(SUMPRODUCT($C19:$C19,AE19:AE19)+SUMPRODUCT($C$20:$C$21,AE20:AE21))*Calculator!$G$72</f>
        <v>27100000</v>
      </c>
      <c r="AF22" s="243">
        <f>(SUMPRODUCT($C19:$C19,AF19:AF19)+SUMPRODUCT($C$20:$C$21,AF20:AF21))*Calculator!$G$72</f>
        <v>27100000</v>
      </c>
      <c r="AG22" s="243">
        <f>(SUMPRODUCT($C19:$C19,AG19:AG19)+SUMPRODUCT($C$20:$C$21,AG20:AG21))*Calculator!$G$72</f>
        <v>27100000</v>
      </c>
      <c r="AH22" s="243">
        <f>(SUMPRODUCT($C19:$C19,AH19:AH19)+SUMPRODUCT($C$20:$C$21,AH20:AH21))*Calculator!$G$72</f>
        <v>27100000</v>
      </c>
      <c r="AI22" s="243">
        <f>(SUMPRODUCT($C19:$C19,AI19:AI19)+SUMPRODUCT($C$20:$C$21,AI20:AI21))*Calculator!$G$72</f>
        <v>27100000</v>
      </c>
      <c r="AJ22" s="243">
        <f>(SUMPRODUCT($C19:$C19,AJ19:AJ19)+SUMPRODUCT($C$20:$C$21,AJ20:AJ21))*Calculator!$G$72</f>
        <v>27100000</v>
      </c>
      <c r="AK22" s="243">
        <f>(SUMPRODUCT($C19:$C19,AK19:AK19)+SUMPRODUCT($C$20:$C$21,AK20:AK21))*Calculator!$G$72</f>
        <v>27100000</v>
      </c>
      <c r="AL22" s="243">
        <f>(SUMPRODUCT($C19:$C19,AL19:AL19)+SUMPRODUCT($C$20:$C$21,AL20:AL21))*Calculator!$G$72</f>
        <v>27100000</v>
      </c>
      <c r="AM22" s="243">
        <f>(SUMPRODUCT($C19:$C19,AM19:AM19)+SUMPRODUCT($C$20:$C$21,AM20:AM21))*Calculator!$G$72</f>
        <v>27100000</v>
      </c>
      <c r="AN22" s="243">
        <f>(SUMPRODUCT($C19:$C19,AN19:AN19)+SUMPRODUCT($C$20:$C$21,AN20:AN21))*Calculator!$G$72</f>
        <v>27100000</v>
      </c>
      <c r="AO22" s="243">
        <f>(SUMPRODUCT($C19:$C19,AO19:AO19)+SUMPRODUCT($C$20:$C$21,AO20:AO21))*Calculator!$G$72</f>
        <v>27100000</v>
      </c>
      <c r="AP22" s="243">
        <f>(SUMPRODUCT($C19:$C19,AP19:AP19)+SUMPRODUCT($C$20:$C$21,AP20:AP21))*Calculator!$G$72</f>
        <v>0</v>
      </c>
    </row>
    <row r="23" spans="1:42" s="12" customFormat="1" x14ac:dyDescent="0.2">
      <c r="A23" s="14"/>
      <c r="B23" s="35"/>
      <c r="C23" s="35"/>
      <c r="D23" s="36"/>
      <c r="F23" s="11"/>
      <c r="K23" s="13"/>
    </row>
    <row r="24" spans="1:42" s="12" customFormat="1" x14ac:dyDescent="0.2">
      <c r="A24" s="10" t="s">
        <v>23</v>
      </c>
      <c r="B24" s="35"/>
      <c r="C24" s="35"/>
      <c r="D24" s="36"/>
      <c r="F24" s="11"/>
      <c r="K24" s="13"/>
    </row>
    <row r="25" spans="1:42" s="12" customFormat="1" x14ac:dyDescent="0.2">
      <c r="A25" s="14" t="s">
        <v>24</v>
      </c>
      <c r="B25" s="35"/>
      <c r="C25" s="35"/>
      <c r="D25" s="36"/>
      <c r="F25" s="11"/>
      <c r="K25" s="13"/>
      <c r="T25" s="21"/>
      <c r="U25" s="21"/>
      <c r="V25" s="21"/>
      <c r="W25" s="21"/>
      <c r="X25" s="21"/>
      <c r="Y25" s="21"/>
      <c r="Z25" s="21"/>
      <c r="AA25" s="21"/>
      <c r="AB25" s="21"/>
      <c r="AC25" s="21"/>
      <c r="AD25" s="21"/>
      <c r="AE25" s="21">
        <f>AE3</f>
        <v>0</v>
      </c>
      <c r="AF25" s="21">
        <f t="shared" ref="AF25:AP25" si="3">AF3</f>
        <v>0</v>
      </c>
      <c r="AG25" s="21">
        <f t="shared" si="3"/>
        <v>0</v>
      </c>
      <c r="AH25" s="21">
        <f t="shared" si="3"/>
        <v>0</v>
      </c>
      <c r="AI25" s="21">
        <f t="shared" si="3"/>
        <v>0</v>
      </c>
      <c r="AJ25" s="21">
        <f t="shared" si="3"/>
        <v>0</v>
      </c>
      <c r="AK25" s="21">
        <f t="shared" si="3"/>
        <v>0</v>
      </c>
      <c r="AL25" s="21">
        <f t="shared" si="3"/>
        <v>0</v>
      </c>
      <c r="AM25" s="21">
        <f t="shared" si="3"/>
        <v>0</v>
      </c>
      <c r="AN25" s="21">
        <f t="shared" si="3"/>
        <v>0</v>
      </c>
      <c r="AO25" s="21">
        <f t="shared" si="3"/>
        <v>0</v>
      </c>
      <c r="AP25" s="21">
        <f t="shared" si="3"/>
        <v>1</v>
      </c>
    </row>
    <row r="26" spans="1:42" s="28" customFormat="1" x14ac:dyDescent="0.2">
      <c r="A26" s="26" t="s">
        <v>147</v>
      </c>
      <c r="B26" s="242">
        <f>C26*Calculator!$G$72</f>
        <v>156500000</v>
      </c>
      <c r="C26" s="241">
        <f>Calculator!$G$69*1000</f>
        <v>156500</v>
      </c>
      <c r="D26" s="27"/>
      <c r="F26" s="29"/>
      <c r="G26" s="243">
        <f>$B26*G$25</f>
        <v>0</v>
      </c>
      <c r="H26" s="243">
        <f>$B26*H$25</f>
        <v>0</v>
      </c>
      <c r="I26" s="243">
        <f t="shared" ref="I26:AE26" si="4">$B26*I$25</f>
        <v>0</v>
      </c>
      <c r="J26" s="243">
        <f t="shared" si="4"/>
        <v>0</v>
      </c>
      <c r="K26" s="244">
        <f t="shared" si="4"/>
        <v>0</v>
      </c>
      <c r="L26" s="243">
        <f t="shared" si="4"/>
        <v>0</v>
      </c>
      <c r="M26" s="243">
        <f t="shared" si="4"/>
        <v>0</v>
      </c>
      <c r="N26" s="243">
        <f t="shared" si="4"/>
        <v>0</v>
      </c>
      <c r="O26" s="243">
        <f t="shared" si="4"/>
        <v>0</v>
      </c>
      <c r="P26" s="243">
        <f t="shared" si="4"/>
        <v>0</v>
      </c>
      <c r="Q26" s="243">
        <f t="shared" si="4"/>
        <v>0</v>
      </c>
      <c r="R26" s="243">
        <f t="shared" si="4"/>
        <v>0</v>
      </c>
      <c r="S26" s="243">
        <f t="shared" si="4"/>
        <v>0</v>
      </c>
      <c r="T26" s="243">
        <f t="shared" si="4"/>
        <v>0</v>
      </c>
      <c r="U26" s="243">
        <f t="shared" si="4"/>
        <v>0</v>
      </c>
      <c r="V26" s="243">
        <f t="shared" si="4"/>
        <v>0</v>
      </c>
      <c r="W26" s="243">
        <f t="shared" si="4"/>
        <v>0</v>
      </c>
      <c r="X26" s="243">
        <f t="shared" si="4"/>
        <v>0</v>
      </c>
      <c r="Y26" s="243">
        <f t="shared" si="4"/>
        <v>0</v>
      </c>
      <c r="Z26" s="243">
        <f t="shared" si="4"/>
        <v>0</v>
      </c>
      <c r="AA26" s="243">
        <f t="shared" si="4"/>
        <v>0</v>
      </c>
      <c r="AB26" s="243">
        <f t="shared" si="4"/>
        <v>0</v>
      </c>
      <c r="AC26" s="243">
        <f t="shared" si="4"/>
        <v>0</v>
      </c>
      <c r="AD26" s="243">
        <f t="shared" si="4"/>
        <v>0</v>
      </c>
      <c r="AE26" s="243">
        <f t="shared" si="4"/>
        <v>0</v>
      </c>
      <c r="AF26" s="243">
        <f>$B26*AF$25</f>
        <v>0</v>
      </c>
      <c r="AG26" s="243">
        <f t="shared" ref="AG26:AP26" si="5">$B26*AG$25</f>
        <v>0</v>
      </c>
      <c r="AH26" s="243">
        <f t="shared" si="5"/>
        <v>0</v>
      </c>
      <c r="AI26" s="243">
        <f t="shared" si="5"/>
        <v>0</v>
      </c>
      <c r="AJ26" s="243">
        <f t="shared" si="5"/>
        <v>0</v>
      </c>
      <c r="AK26" s="243">
        <f t="shared" si="5"/>
        <v>0</v>
      </c>
      <c r="AL26" s="243">
        <f t="shared" si="5"/>
        <v>0</v>
      </c>
      <c r="AM26" s="243">
        <f t="shared" si="5"/>
        <v>0</v>
      </c>
      <c r="AN26" s="243">
        <f t="shared" si="5"/>
        <v>0</v>
      </c>
      <c r="AO26" s="243">
        <f t="shared" si="5"/>
        <v>0</v>
      </c>
      <c r="AP26" s="243">
        <f t="shared" si="5"/>
        <v>156500000</v>
      </c>
    </row>
    <row r="27" spans="1:42" s="12" customFormat="1" x14ac:dyDescent="0.2">
      <c r="A27" s="14"/>
      <c r="B27" s="24"/>
      <c r="C27" s="24"/>
      <c r="D27" s="25"/>
      <c r="F27" s="11"/>
      <c r="K27" s="13"/>
      <c r="AF27" s="21"/>
    </row>
    <row r="28" spans="1:42" s="12" customFormat="1" x14ac:dyDescent="0.2">
      <c r="A28" s="10" t="s">
        <v>22</v>
      </c>
      <c r="B28" s="24"/>
      <c r="C28" s="24"/>
      <c r="D28" s="25"/>
      <c r="F28" s="11"/>
      <c r="K28" s="13"/>
      <c r="AF28" s="21"/>
    </row>
    <row r="29" spans="1:42" s="12" customFormat="1" x14ac:dyDescent="0.2">
      <c r="A29" s="39" t="s">
        <v>4</v>
      </c>
      <c r="C29" s="65">
        <f>Calculator!$G65</f>
        <v>4014.3716202939231</v>
      </c>
      <c r="F29" s="11"/>
      <c r="G29" s="37">
        <f t="shared" ref="G29:AP29" si="6">$C29</f>
        <v>4014.3716202939231</v>
      </c>
      <c r="H29" s="37">
        <f t="shared" si="6"/>
        <v>4014.3716202939231</v>
      </c>
      <c r="I29" s="37">
        <f t="shared" si="6"/>
        <v>4014.3716202939231</v>
      </c>
      <c r="J29" s="37">
        <f t="shared" si="6"/>
        <v>4014.3716202939231</v>
      </c>
      <c r="K29" s="38">
        <f t="shared" si="6"/>
        <v>4014.3716202939231</v>
      </c>
      <c r="L29" s="37">
        <f t="shared" si="6"/>
        <v>4014.3716202939231</v>
      </c>
      <c r="M29" s="37">
        <f t="shared" si="6"/>
        <v>4014.3716202939231</v>
      </c>
      <c r="N29" s="37">
        <f t="shared" si="6"/>
        <v>4014.3716202939231</v>
      </c>
      <c r="O29" s="37">
        <f t="shared" si="6"/>
        <v>4014.3716202939231</v>
      </c>
      <c r="P29" s="37">
        <f t="shared" si="6"/>
        <v>4014.3716202939231</v>
      </c>
      <c r="Q29" s="37">
        <f t="shared" si="6"/>
        <v>4014.3716202939231</v>
      </c>
      <c r="R29" s="37">
        <f t="shared" si="6"/>
        <v>4014.3716202939231</v>
      </c>
      <c r="S29" s="37">
        <f t="shared" si="6"/>
        <v>4014.3716202939231</v>
      </c>
      <c r="T29" s="37">
        <f t="shared" si="6"/>
        <v>4014.3716202939231</v>
      </c>
      <c r="U29" s="37">
        <f t="shared" si="6"/>
        <v>4014.3716202939231</v>
      </c>
      <c r="V29" s="37">
        <f t="shared" si="6"/>
        <v>4014.3716202939231</v>
      </c>
      <c r="W29" s="37">
        <f t="shared" si="6"/>
        <v>4014.3716202939231</v>
      </c>
      <c r="X29" s="37">
        <f t="shared" si="6"/>
        <v>4014.3716202939231</v>
      </c>
      <c r="Y29" s="37">
        <f t="shared" si="6"/>
        <v>4014.3716202939231</v>
      </c>
      <c r="Z29" s="37">
        <f t="shared" si="6"/>
        <v>4014.3716202939231</v>
      </c>
      <c r="AA29" s="37">
        <f t="shared" si="6"/>
        <v>4014.3716202939231</v>
      </c>
      <c r="AB29" s="37">
        <f t="shared" si="6"/>
        <v>4014.3716202939231</v>
      </c>
      <c r="AC29" s="37">
        <f t="shared" si="6"/>
        <v>4014.3716202939231</v>
      </c>
      <c r="AD29" s="37">
        <f t="shared" si="6"/>
        <v>4014.3716202939231</v>
      </c>
      <c r="AE29" s="37">
        <f t="shared" si="6"/>
        <v>4014.3716202939231</v>
      </c>
      <c r="AF29" s="37">
        <f t="shared" si="6"/>
        <v>4014.3716202939231</v>
      </c>
      <c r="AG29" s="37">
        <f t="shared" si="6"/>
        <v>4014.3716202939231</v>
      </c>
      <c r="AH29" s="37">
        <f t="shared" si="6"/>
        <v>4014.3716202939231</v>
      </c>
      <c r="AI29" s="37">
        <f t="shared" si="6"/>
        <v>4014.3716202939231</v>
      </c>
      <c r="AJ29" s="37">
        <f t="shared" si="6"/>
        <v>4014.3716202939231</v>
      </c>
      <c r="AK29" s="37">
        <f t="shared" si="6"/>
        <v>4014.3716202939231</v>
      </c>
      <c r="AL29" s="37">
        <f t="shared" si="6"/>
        <v>4014.3716202939231</v>
      </c>
      <c r="AM29" s="37">
        <f t="shared" si="6"/>
        <v>4014.3716202939231</v>
      </c>
      <c r="AN29" s="37">
        <f t="shared" si="6"/>
        <v>4014.3716202939231</v>
      </c>
      <c r="AO29" s="37">
        <f t="shared" si="6"/>
        <v>4014.3716202939231</v>
      </c>
      <c r="AP29" s="37">
        <f t="shared" si="6"/>
        <v>4014.3716202939231</v>
      </c>
    </row>
    <row r="30" spans="1:42" s="12" customFormat="1" hidden="1" x14ac:dyDescent="0.2">
      <c r="A30" s="40" t="s">
        <v>19</v>
      </c>
      <c r="C30" s="41"/>
      <c r="F30" s="11"/>
      <c r="G30" s="42">
        <f>G2</f>
        <v>0</v>
      </c>
      <c r="H30" s="42">
        <f>H2</f>
        <v>0</v>
      </c>
      <c r="I30" s="42">
        <f t="shared" ref="I30:AP30" si="7">I2</f>
        <v>0</v>
      </c>
      <c r="J30" s="42">
        <f t="shared" si="7"/>
        <v>0</v>
      </c>
      <c r="K30" s="43">
        <f t="shared" si="7"/>
        <v>0</v>
      </c>
      <c r="L30" s="42">
        <f t="shared" si="7"/>
        <v>1</v>
      </c>
      <c r="M30" s="42">
        <f t="shared" si="7"/>
        <v>1</v>
      </c>
      <c r="N30" s="42">
        <f t="shared" si="7"/>
        <v>1</v>
      </c>
      <c r="O30" s="42">
        <f t="shared" si="7"/>
        <v>1</v>
      </c>
      <c r="P30" s="42">
        <f t="shared" si="7"/>
        <v>1</v>
      </c>
      <c r="Q30" s="42">
        <f t="shared" si="7"/>
        <v>1</v>
      </c>
      <c r="R30" s="42">
        <f t="shared" si="7"/>
        <v>1</v>
      </c>
      <c r="S30" s="42">
        <f t="shared" si="7"/>
        <v>1</v>
      </c>
      <c r="T30" s="42">
        <f t="shared" si="7"/>
        <v>1</v>
      </c>
      <c r="U30" s="42">
        <f t="shared" si="7"/>
        <v>1</v>
      </c>
      <c r="V30" s="42">
        <f t="shared" si="7"/>
        <v>1</v>
      </c>
      <c r="W30" s="42">
        <f t="shared" si="7"/>
        <v>1</v>
      </c>
      <c r="X30" s="42">
        <f t="shared" si="7"/>
        <v>1</v>
      </c>
      <c r="Y30" s="42">
        <f t="shared" si="7"/>
        <v>1</v>
      </c>
      <c r="Z30" s="42">
        <f t="shared" si="7"/>
        <v>1</v>
      </c>
      <c r="AA30" s="42">
        <f t="shared" si="7"/>
        <v>1</v>
      </c>
      <c r="AB30" s="42">
        <f t="shared" si="7"/>
        <v>1</v>
      </c>
      <c r="AC30" s="42">
        <f t="shared" si="7"/>
        <v>1</v>
      </c>
      <c r="AD30" s="42">
        <f t="shared" si="7"/>
        <v>1</v>
      </c>
      <c r="AE30" s="42">
        <f t="shared" si="7"/>
        <v>1</v>
      </c>
      <c r="AF30" s="42">
        <f t="shared" si="7"/>
        <v>1</v>
      </c>
      <c r="AG30" s="42">
        <f t="shared" si="7"/>
        <v>1</v>
      </c>
      <c r="AH30" s="42">
        <f t="shared" si="7"/>
        <v>1</v>
      </c>
      <c r="AI30" s="42">
        <f t="shared" si="7"/>
        <v>1</v>
      </c>
      <c r="AJ30" s="42">
        <f t="shared" si="7"/>
        <v>1</v>
      </c>
      <c r="AK30" s="42">
        <f t="shared" si="7"/>
        <v>1</v>
      </c>
      <c r="AL30" s="42">
        <f t="shared" si="7"/>
        <v>1</v>
      </c>
      <c r="AM30" s="42">
        <f t="shared" si="7"/>
        <v>1</v>
      </c>
      <c r="AN30" s="42">
        <f t="shared" si="7"/>
        <v>1</v>
      </c>
      <c r="AO30" s="42">
        <f t="shared" si="7"/>
        <v>1</v>
      </c>
      <c r="AP30" s="42">
        <f t="shared" si="7"/>
        <v>0</v>
      </c>
    </row>
    <row r="31" spans="1:42" s="12" customFormat="1" x14ac:dyDescent="0.2">
      <c r="A31" s="10" t="s">
        <v>3</v>
      </c>
      <c r="B31" s="44">
        <f>SUM(G31:AF31)</f>
        <v>84301804.026172414</v>
      </c>
      <c r="C31" s="44"/>
      <c r="D31" s="45"/>
      <c r="F31" s="11"/>
      <c r="G31" s="46">
        <f>G29*G30*Calculator!$G$72</f>
        <v>0</v>
      </c>
      <c r="H31" s="46">
        <f>H29*H30*Calculator!$G$72</f>
        <v>0</v>
      </c>
      <c r="I31" s="46">
        <f>I29*I30*Calculator!$G$72</f>
        <v>0</v>
      </c>
      <c r="J31" s="46">
        <f>J29*J30*Calculator!$G$72</f>
        <v>0</v>
      </c>
      <c r="K31" s="47">
        <f>K29*K30*Calculator!$G$72</f>
        <v>0</v>
      </c>
      <c r="L31" s="46">
        <f>L29*L30*Calculator!$G$72</f>
        <v>4014371.6202939232</v>
      </c>
      <c r="M31" s="46">
        <f>M29*M30*Calculator!$G$72</f>
        <v>4014371.6202939232</v>
      </c>
      <c r="N31" s="46">
        <f>N29*N30*Calculator!$G$72</f>
        <v>4014371.6202939232</v>
      </c>
      <c r="O31" s="46">
        <f>O29*O30*Calculator!$G$72</f>
        <v>4014371.6202939232</v>
      </c>
      <c r="P31" s="46">
        <f>P29*P30*Calculator!$G$72</f>
        <v>4014371.6202939232</v>
      </c>
      <c r="Q31" s="46">
        <f>Q29*Q30*Calculator!$G$72</f>
        <v>4014371.6202939232</v>
      </c>
      <c r="R31" s="46">
        <f>R29*R30*Calculator!$G$72</f>
        <v>4014371.6202939232</v>
      </c>
      <c r="S31" s="46">
        <f>S29*S30*Calculator!$G$72</f>
        <v>4014371.6202939232</v>
      </c>
      <c r="T31" s="46">
        <f>T29*T30*Calculator!$G$72</f>
        <v>4014371.6202939232</v>
      </c>
      <c r="U31" s="46">
        <f>U29*U30*Calculator!$G$72</f>
        <v>4014371.6202939232</v>
      </c>
      <c r="V31" s="46">
        <f>V29*V30*Calculator!$G$72</f>
        <v>4014371.6202939232</v>
      </c>
      <c r="W31" s="46">
        <f>W29*W30*Calculator!$G$72</f>
        <v>4014371.6202939232</v>
      </c>
      <c r="X31" s="46">
        <f>X29*X30*Calculator!$G$72</f>
        <v>4014371.6202939232</v>
      </c>
      <c r="Y31" s="46">
        <f>Y29*Y30*Calculator!$G$72</f>
        <v>4014371.6202939232</v>
      </c>
      <c r="Z31" s="46">
        <f>Z29*Z30*Calculator!$G$72</f>
        <v>4014371.6202939232</v>
      </c>
      <c r="AA31" s="46">
        <f>AA29*AA30*Calculator!$G$72</f>
        <v>4014371.6202939232</v>
      </c>
      <c r="AB31" s="46">
        <f>AB29*AB30*Calculator!$G$72</f>
        <v>4014371.6202939232</v>
      </c>
      <c r="AC31" s="46">
        <f>AC29*AC30*Calculator!$G$72</f>
        <v>4014371.6202939232</v>
      </c>
      <c r="AD31" s="46">
        <f>AD29*AD30*Calculator!$G$72</f>
        <v>4014371.6202939232</v>
      </c>
      <c r="AE31" s="46">
        <f>AE29*AE30*Calculator!$G$72</f>
        <v>4014371.6202939232</v>
      </c>
      <c r="AF31" s="46">
        <f>AF29*AF30*Calculator!$G$72</f>
        <v>4014371.6202939232</v>
      </c>
      <c r="AG31" s="46">
        <f>AG29*AG30*Calculator!$G$72</f>
        <v>4014371.6202939232</v>
      </c>
      <c r="AH31" s="46">
        <f>AH29*AH30*Calculator!$G$72</f>
        <v>4014371.6202939232</v>
      </c>
      <c r="AI31" s="46">
        <f>AI29*AI30*Calculator!$G$72</f>
        <v>4014371.6202939232</v>
      </c>
      <c r="AJ31" s="46">
        <f>AJ29*AJ30*Calculator!$G$72</f>
        <v>4014371.6202939232</v>
      </c>
      <c r="AK31" s="46">
        <f>AK29*AK30*Calculator!$G$72</f>
        <v>4014371.6202939232</v>
      </c>
      <c r="AL31" s="46">
        <f>AL29*AL30*Calculator!$G$72</f>
        <v>4014371.6202939232</v>
      </c>
      <c r="AM31" s="46">
        <f>AM29*AM30*Calculator!$G$72</f>
        <v>4014371.6202939232</v>
      </c>
      <c r="AN31" s="46">
        <f>AN29*AN30*Calculator!$G$72</f>
        <v>4014371.6202939232</v>
      </c>
      <c r="AO31" s="46">
        <f>AO29*AO30*Calculator!$G$72</f>
        <v>4014371.6202939232</v>
      </c>
      <c r="AP31" s="46">
        <f>AP29*AP30*Calculator!$G$72</f>
        <v>0</v>
      </c>
    </row>
    <row r="32" spans="1:42" s="12" customFormat="1" x14ac:dyDescent="0.2">
      <c r="A32" s="48"/>
      <c r="D32" s="16"/>
      <c r="F32" s="11"/>
      <c r="K32" s="13"/>
    </row>
    <row r="33" spans="1:42" s="12" customFormat="1" ht="25.5" x14ac:dyDescent="0.2">
      <c r="A33" s="10" t="s">
        <v>5</v>
      </c>
      <c r="B33" s="68">
        <f>Calculator!$G$74</f>
        <v>5.5E-2</v>
      </c>
      <c r="D33" s="16"/>
      <c r="F33" s="11" t="s">
        <v>6</v>
      </c>
      <c r="G33" s="49">
        <v>1</v>
      </c>
      <c r="H33" s="49">
        <f>1/(1+$B$33)^(H1+3.5)</f>
        <v>0.97358476702247099</v>
      </c>
      <c r="I33" s="49">
        <f t="shared" ref="I33:AP33" si="8">1/(1+$B$33)^(I1+3.5)</f>
        <v>0.92282916305447504</v>
      </c>
      <c r="J33" s="49">
        <f t="shared" si="8"/>
        <v>0.87471958583362563</v>
      </c>
      <c r="K33" s="50">
        <f t="shared" si="8"/>
        <v>0.82911809083755983</v>
      </c>
      <c r="L33" s="49">
        <f t="shared" si="8"/>
        <v>0.78589392496451171</v>
      </c>
      <c r="M33" s="49">
        <f t="shared" si="8"/>
        <v>0.74492315162512968</v>
      </c>
      <c r="N33" s="49">
        <f t="shared" si="8"/>
        <v>0.70608829537926976</v>
      </c>
      <c r="O33" s="49">
        <f t="shared" si="8"/>
        <v>0.66927800509883406</v>
      </c>
      <c r="P33" s="49">
        <f t="shared" si="8"/>
        <v>0.63438673469083795</v>
      </c>
      <c r="Q33" s="49">
        <f t="shared" si="8"/>
        <v>0.60131444046524929</v>
      </c>
      <c r="R33" s="49">
        <f t="shared" si="8"/>
        <v>0.56996629427985712</v>
      </c>
      <c r="S33" s="49">
        <f t="shared" si="8"/>
        <v>0.54025241163967508</v>
      </c>
      <c r="T33" s="49">
        <f t="shared" si="8"/>
        <v>0.51208759397125603</v>
      </c>
      <c r="U33" s="49">
        <f t="shared" si="8"/>
        <v>0.4853910843329442</v>
      </c>
      <c r="V33" s="49">
        <f t="shared" si="8"/>
        <v>0.4600863358606106</v>
      </c>
      <c r="W33" s="49">
        <f t="shared" si="8"/>
        <v>0.43610079228493898</v>
      </c>
      <c r="X33" s="49">
        <f t="shared" si="8"/>
        <v>0.41336567989093748</v>
      </c>
      <c r="Y33" s="49">
        <f t="shared" si="8"/>
        <v>0.39181581032316348</v>
      </c>
      <c r="Z33" s="49">
        <f t="shared" si="8"/>
        <v>0.37138939367124502</v>
      </c>
      <c r="AA33" s="49">
        <f t="shared" si="8"/>
        <v>0.35202786129975833</v>
      </c>
      <c r="AB33" s="49">
        <f t="shared" si="8"/>
        <v>0.33367569791446289</v>
      </c>
      <c r="AC33" s="49">
        <f t="shared" si="8"/>
        <v>0.31628028238337719</v>
      </c>
      <c r="AD33" s="49">
        <f t="shared" si="8"/>
        <v>0.29979173685628169</v>
      </c>
      <c r="AE33" s="49">
        <f t="shared" si="8"/>
        <v>0.28416278375003007</v>
      </c>
      <c r="AF33" s="49">
        <f t="shared" si="8"/>
        <v>0.26934861018960199</v>
      </c>
      <c r="AG33" s="49">
        <f t="shared" si="8"/>
        <v>0.25530673951621041</v>
      </c>
      <c r="AH33" s="49">
        <f t="shared" si="8"/>
        <v>0.24199690949403835</v>
      </c>
      <c r="AI33" s="49">
        <f t="shared" si="8"/>
        <v>0.22938095686638699</v>
      </c>
      <c r="AJ33" s="49">
        <f t="shared" si="8"/>
        <v>0.2174227079302247</v>
      </c>
      <c r="AK33" s="49">
        <f t="shared" si="8"/>
        <v>0.20608787481537888</v>
      </c>
      <c r="AL33" s="49">
        <f t="shared" si="8"/>
        <v>0.19534395717097525</v>
      </c>
      <c r="AM33" s="49">
        <f t="shared" si="8"/>
        <v>0.18516014897722774</v>
      </c>
      <c r="AN33" s="49">
        <f t="shared" si="8"/>
        <v>0.17550725021538174</v>
      </c>
      <c r="AO33" s="49">
        <f t="shared" si="8"/>
        <v>0.16635758314254195</v>
      </c>
      <c r="AP33" s="49">
        <f t="shared" si="8"/>
        <v>0.15768491293131937</v>
      </c>
    </row>
    <row r="34" spans="1:42" s="12" customFormat="1" x14ac:dyDescent="0.2">
      <c r="A34" s="14"/>
      <c r="B34" s="15"/>
      <c r="C34" s="16"/>
      <c r="D34" s="16"/>
      <c r="F34" s="11"/>
      <c r="K34" s="13"/>
    </row>
    <row r="35" spans="1:42" s="53" customFormat="1" x14ac:dyDescent="0.2">
      <c r="A35" s="51" t="s">
        <v>7</v>
      </c>
      <c r="B35" s="52"/>
      <c r="F35" s="52"/>
      <c r="G35" s="8"/>
      <c r="H35" s="8"/>
      <c r="I35" s="8"/>
      <c r="K35" s="9"/>
    </row>
    <row r="36" spans="1:42" x14ac:dyDescent="0.2">
      <c r="A36" s="54" t="s">
        <v>8</v>
      </c>
      <c r="B36" s="55">
        <f>SUM(G36:AP36)</f>
        <v>1529070055.4257615</v>
      </c>
      <c r="G36" s="56">
        <f>G$16*G33</f>
        <v>41700000</v>
      </c>
      <c r="H36" s="56">
        <f>H$16*H33</f>
        <v>91304751.385359198</v>
      </c>
      <c r="I36" s="57">
        <f t="shared" ref="I36:AP36" si="9">I$16*I33</f>
        <v>329442037.43425792</v>
      </c>
      <c r="J36" s="57">
        <f t="shared" si="9"/>
        <v>533250006.56131881</v>
      </c>
      <c r="K36" s="58">
        <f t="shared" si="9"/>
        <v>507583954.42363393</v>
      </c>
      <c r="L36" s="57">
        <f t="shared" si="9"/>
        <v>25789305.621191692</v>
      </c>
      <c r="M36" s="57">
        <f t="shared" si="9"/>
        <v>0</v>
      </c>
      <c r="N36" s="57">
        <f t="shared" si="9"/>
        <v>0</v>
      </c>
      <c r="O36" s="57">
        <f t="shared" si="9"/>
        <v>0</v>
      </c>
      <c r="P36" s="57">
        <f t="shared" si="9"/>
        <v>0</v>
      </c>
      <c r="Q36" s="57">
        <f t="shared" si="9"/>
        <v>0</v>
      </c>
      <c r="R36" s="57">
        <f t="shared" si="9"/>
        <v>0</v>
      </c>
      <c r="S36" s="57">
        <f t="shared" si="9"/>
        <v>0</v>
      </c>
      <c r="T36" s="57">
        <f t="shared" si="9"/>
        <v>0</v>
      </c>
      <c r="U36" s="57">
        <f t="shared" si="9"/>
        <v>0</v>
      </c>
      <c r="V36" s="57">
        <f t="shared" si="9"/>
        <v>0</v>
      </c>
      <c r="W36" s="57">
        <f t="shared" si="9"/>
        <v>0</v>
      </c>
      <c r="X36" s="57">
        <f t="shared" si="9"/>
        <v>0</v>
      </c>
      <c r="Y36" s="57">
        <f t="shared" si="9"/>
        <v>0</v>
      </c>
      <c r="Z36" s="57">
        <f t="shared" si="9"/>
        <v>0</v>
      </c>
      <c r="AA36" s="57">
        <f t="shared" si="9"/>
        <v>0</v>
      </c>
      <c r="AB36" s="57">
        <f t="shared" si="9"/>
        <v>0</v>
      </c>
      <c r="AC36" s="57">
        <f t="shared" si="9"/>
        <v>0</v>
      </c>
      <c r="AD36" s="57">
        <f t="shared" si="9"/>
        <v>0</v>
      </c>
      <c r="AE36" s="57">
        <f t="shared" si="9"/>
        <v>0</v>
      </c>
      <c r="AF36" s="57">
        <f t="shared" si="9"/>
        <v>0</v>
      </c>
      <c r="AG36" s="57">
        <f t="shared" si="9"/>
        <v>0</v>
      </c>
      <c r="AH36" s="57">
        <f t="shared" si="9"/>
        <v>0</v>
      </c>
      <c r="AI36" s="57">
        <f t="shared" si="9"/>
        <v>0</v>
      </c>
      <c r="AJ36" s="57">
        <f t="shared" si="9"/>
        <v>0</v>
      </c>
      <c r="AK36" s="57">
        <f t="shared" si="9"/>
        <v>0</v>
      </c>
      <c r="AL36" s="57">
        <f t="shared" si="9"/>
        <v>0</v>
      </c>
      <c r="AM36" s="57">
        <f t="shared" si="9"/>
        <v>0</v>
      </c>
      <c r="AN36" s="57">
        <f t="shared" si="9"/>
        <v>0</v>
      </c>
      <c r="AO36" s="57">
        <f t="shared" si="9"/>
        <v>0</v>
      </c>
      <c r="AP36" s="57">
        <f t="shared" si="9"/>
        <v>0</v>
      </c>
    </row>
    <row r="37" spans="1:42" x14ac:dyDescent="0.2">
      <c r="A37" s="54" t="s">
        <v>9</v>
      </c>
      <c r="B37" s="55">
        <f>SUM(G37:AP37)</f>
        <v>326560177.42790926</v>
      </c>
      <c r="G37" s="56">
        <f t="shared" ref="G37:AP37" si="10">G$22*G33</f>
        <v>0</v>
      </c>
      <c r="H37" s="56">
        <f t="shared" si="10"/>
        <v>0</v>
      </c>
      <c r="I37" s="57">
        <f t="shared" si="10"/>
        <v>0</v>
      </c>
      <c r="J37" s="57">
        <f t="shared" si="10"/>
        <v>0</v>
      </c>
      <c r="K37" s="58">
        <f t="shared" si="10"/>
        <v>0</v>
      </c>
      <c r="L37" s="57">
        <f t="shared" si="10"/>
        <v>21297725.366538268</v>
      </c>
      <c r="M37" s="57">
        <f t="shared" si="10"/>
        <v>20187417.409041014</v>
      </c>
      <c r="N37" s="57">
        <f t="shared" si="10"/>
        <v>19134992.804778211</v>
      </c>
      <c r="O37" s="57">
        <f t="shared" si="10"/>
        <v>18137433.938178401</v>
      </c>
      <c r="P37" s="57">
        <f t="shared" si="10"/>
        <v>17191880.510121707</v>
      </c>
      <c r="Q37" s="57">
        <f t="shared" si="10"/>
        <v>16295621.336608255</v>
      </c>
      <c r="R37" s="57">
        <f t="shared" si="10"/>
        <v>15446086.574984128</v>
      </c>
      <c r="S37" s="57">
        <f t="shared" si="10"/>
        <v>14640840.355435194</v>
      </c>
      <c r="T37" s="57">
        <f t="shared" si="10"/>
        <v>13877573.796621038</v>
      </c>
      <c r="U37" s="57">
        <f t="shared" si="10"/>
        <v>13154098.385422789</v>
      </c>
      <c r="V37" s="57">
        <f t="shared" si="10"/>
        <v>12468339.701822547</v>
      </c>
      <c r="W37" s="57">
        <f t="shared" si="10"/>
        <v>11818331.470921846</v>
      </c>
      <c r="X37" s="57">
        <f t="shared" si="10"/>
        <v>11202209.925044406</v>
      </c>
      <c r="Y37" s="57">
        <f t="shared" si="10"/>
        <v>10618208.45975773</v>
      </c>
      <c r="Z37" s="57">
        <f t="shared" si="10"/>
        <v>10064652.56849074</v>
      </c>
      <c r="AA37" s="57">
        <f t="shared" si="10"/>
        <v>9539955.0412234515</v>
      </c>
      <c r="AB37" s="57">
        <f t="shared" si="10"/>
        <v>9042611.4134819452</v>
      </c>
      <c r="AC37" s="57">
        <f t="shared" si="10"/>
        <v>8571195.6525895223</v>
      </c>
      <c r="AD37" s="57">
        <f t="shared" si="10"/>
        <v>8124356.0688052336</v>
      </c>
      <c r="AE37" s="57">
        <f t="shared" si="10"/>
        <v>7700811.4396258146</v>
      </c>
      <c r="AF37" s="57">
        <f t="shared" si="10"/>
        <v>7299347.336138214</v>
      </c>
      <c r="AG37" s="57">
        <f t="shared" si="10"/>
        <v>6918812.6408893019</v>
      </c>
      <c r="AH37" s="57">
        <f t="shared" si="10"/>
        <v>6558116.2472884394</v>
      </c>
      <c r="AI37" s="57">
        <f t="shared" si="10"/>
        <v>6216223.9310790878</v>
      </c>
      <c r="AJ37" s="57">
        <f t="shared" si="10"/>
        <v>5892155.3849090897</v>
      </c>
      <c r="AK37" s="57">
        <f t="shared" si="10"/>
        <v>5584981.407496768</v>
      </c>
      <c r="AL37" s="57">
        <f t="shared" si="10"/>
        <v>5293821.2393334294</v>
      </c>
      <c r="AM37" s="57">
        <f t="shared" si="10"/>
        <v>5017840.037282872</v>
      </c>
      <c r="AN37" s="57">
        <f t="shared" si="10"/>
        <v>4756246.480836845</v>
      </c>
      <c r="AO37" s="57">
        <f t="shared" si="10"/>
        <v>4508290.5031628869</v>
      </c>
      <c r="AP37" s="57">
        <f t="shared" si="10"/>
        <v>0</v>
      </c>
    </row>
    <row r="38" spans="1:42" x14ac:dyDescent="0.2">
      <c r="A38" s="54" t="s">
        <v>10</v>
      </c>
      <c r="B38" s="55">
        <f>SUM(G38:AP38)</f>
        <v>24677688.87375148</v>
      </c>
      <c r="G38" s="56">
        <f t="shared" ref="G38:AP38" si="11">G$26*G33</f>
        <v>0</v>
      </c>
      <c r="H38" s="56">
        <f t="shared" si="11"/>
        <v>0</v>
      </c>
      <c r="I38" s="57">
        <f t="shared" si="11"/>
        <v>0</v>
      </c>
      <c r="J38" s="57">
        <f t="shared" si="11"/>
        <v>0</v>
      </c>
      <c r="K38" s="58">
        <f t="shared" si="11"/>
        <v>0</v>
      </c>
      <c r="L38" s="57">
        <f t="shared" si="11"/>
        <v>0</v>
      </c>
      <c r="M38" s="57">
        <f t="shared" si="11"/>
        <v>0</v>
      </c>
      <c r="N38" s="57">
        <f t="shared" si="11"/>
        <v>0</v>
      </c>
      <c r="O38" s="57">
        <f t="shared" si="11"/>
        <v>0</v>
      </c>
      <c r="P38" s="57">
        <f t="shared" si="11"/>
        <v>0</v>
      </c>
      <c r="Q38" s="57">
        <f t="shared" si="11"/>
        <v>0</v>
      </c>
      <c r="R38" s="57">
        <f t="shared" si="11"/>
        <v>0</v>
      </c>
      <c r="S38" s="57">
        <f t="shared" si="11"/>
        <v>0</v>
      </c>
      <c r="T38" s="57">
        <f t="shared" si="11"/>
        <v>0</v>
      </c>
      <c r="U38" s="57">
        <f t="shared" si="11"/>
        <v>0</v>
      </c>
      <c r="V38" s="57">
        <f t="shared" si="11"/>
        <v>0</v>
      </c>
      <c r="W38" s="57">
        <f t="shared" si="11"/>
        <v>0</v>
      </c>
      <c r="X38" s="57">
        <f t="shared" si="11"/>
        <v>0</v>
      </c>
      <c r="Y38" s="57">
        <f t="shared" si="11"/>
        <v>0</v>
      </c>
      <c r="Z38" s="57">
        <f t="shared" si="11"/>
        <v>0</v>
      </c>
      <c r="AA38" s="57">
        <f t="shared" si="11"/>
        <v>0</v>
      </c>
      <c r="AB38" s="57">
        <f t="shared" si="11"/>
        <v>0</v>
      </c>
      <c r="AC38" s="57">
        <f t="shared" si="11"/>
        <v>0</v>
      </c>
      <c r="AD38" s="57">
        <f t="shared" si="11"/>
        <v>0</v>
      </c>
      <c r="AE38" s="57">
        <f t="shared" si="11"/>
        <v>0</v>
      </c>
      <c r="AF38" s="57">
        <f t="shared" si="11"/>
        <v>0</v>
      </c>
      <c r="AG38" s="57">
        <f t="shared" si="11"/>
        <v>0</v>
      </c>
      <c r="AH38" s="57">
        <f t="shared" si="11"/>
        <v>0</v>
      </c>
      <c r="AI38" s="57">
        <f t="shared" si="11"/>
        <v>0</v>
      </c>
      <c r="AJ38" s="57">
        <f t="shared" si="11"/>
        <v>0</v>
      </c>
      <c r="AK38" s="57">
        <f t="shared" si="11"/>
        <v>0</v>
      </c>
      <c r="AL38" s="57">
        <f t="shared" si="11"/>
        <v>0</v>
      </c>
      <c r="AM38" s="57">
        <f t="shared" si="11"/>
        <v>0</v>
      </c>
      <c r="AN38" s="57">
        <f t="shared" si="11"/>
        <v>0</v>
      </c>
      <c r="AO38" s="57">
        <f t="shared" si="11"/>
        <v>0</v>
      </c>
      <c r="AP38" s="57">
        <f t="shared" si="11"/>
        <v>24677688.87375148</v>
      </c>
    </row>
    <row r="39" spans="1:42" x14ac:dyDescent="0.2">
      <c r="A39" s="54" t="s">
        <v>11</v>
      </c>
      <c r="B39" s="55">
        <f>SUM(G39:AP39)</f>
        <v>1880307921.7274218</v>
      </c>
      <c r="G39" s="56">
        <f>SUM(G36:G38)</f>
        <v>41700000</v>
      </c>
      <c r="H39" s="56">
        <f>SUM(H36:H38)</f>
        <v>91304751.385359198</v>
      </c>
      <c r="I39" s="57">
        <f t="shared" ref="I39:AP39" si="12">SUM(I36:I38)</f>
        <v>329442037.43425792</v>
      </c>
      <c r="J39" s="57">
        <f t="shared" si="12"/>
        <v>533250006.56131881</v>
      </c>
      <c r="K39" s="58">
        <f t="shared" si="12"/>
        <v>507583954.42363393</v>
      </c>
      <c r="L39" s="57">
        <f t="shared" si="12"/>
        <v>47087030.987729959</v>
      </c>
      <c r="M39" s="57">
        <f t="shared" si="12"/>
        <v>20187417.409041014</v>
      </c>
      <c r="N39" s="57">
        <f t="shared" si="12"/>
        <v>19134992.804778211</v>
      </c>
      <c r="O39" s="57">
        <f t="shared" si="12"/>
        <v>18137433.938178401</v>
      </c>
      <c r="P39" s="57">
        <f t="shared" si="12"/>
        <v>17191880.510121707</v>
      </c>
      <c r="Q39" s="57">
        <f t="shared" si="12"/>
        <v>16295621.336608255</v>
      </c>
      <c r="R39" s="57">
        <f t="shared" si="12"/>
        <v>15446086.574984128</v>
      </c>
      <c r="S39" s="57">
        <f t="shared" si="12"/>
        <v>14640840.355435194</v>
      </c>
      <c r="T39" s="57">
        <f t="shared" si="12"/>
        <v>13877573.796621038</v>
      </c>
      <c r="U39" s="57">
        <f t="shared" si="12"/>
        <v>13154098.385422789</v>
      </c>
      <c r="V39" s="57">
        <f t="shared" si="12"/>
        <v>12468339.701822547</v>
      </c>
      <c r="W39" s="57">
        <f t="shared" si="12"/>
        <v>11818331.470921846</v>
      </c>
      <c r="X39" s="57">
        <f t="shared" si="12"/>
        <v>11202209.925044406</v>
      </c>
      <c r="Y39" s="57">
        <f t="shared" si="12"/>
        <v>10618208.45975773</v>
      </c>
      <c r="Z39" s="57">
        <f t="shared" si="12"/>
        <v>10064652.56849074</v>
      </c>
      <c r="AA39" s="57">
        <f t="shared" si="12"/>
        <v>9539955.0412234515</v>
      </c>
      <c r="AB39" s="57">
        <f t="shared" si="12"/>
        <v>9042611.4134819452</v>
      </c>
      <c r="AC39" s="57">
        <f t="shared" si="12"/>
        <v>8571195.6525895223</v>
      </c>
      <c r="AD39" s="57">
        <f t="shared" si="12"/>
        <v>8124356.0688052336</v>
      </c>
      <c r="AE39" s="57">
        <f t="shared" si="12"/>
        <v>7700811.4396258146</v>
      </c>
      <c r="AF39" s="57">
        <f t="shared" si="12"/>
        <v>7299347.336138214</v>
      </c>
      <c r="AG39" s="57">
        <f t="shared" si="12"/>
        <v>6918812.6408893019</v>
      </c>
      <c r="AH39" s="57">
        <f t="shared" si="12"/>
        <v>6558116.2472884394</v>
      </c>
      <c r="AI39" s="57">
        <f t="shared" si="12"/>
        <v>6216223.9310790878</v>
      </c>
      <c r="AJ39" s="57">
        <f t="shared" si="12"/>
        <v>5892155.3849090897</v>
      </c>
      <c r="AK39" s="57">
        <f t="shared" si="12"/>
        <v>5584981.407496768</v>
      </c>
      <c r="AL39" s="57">
        <f t="shared" si="12"/>
        <v>5293821.2393334294</v>
      </c>
      <c r="AM39" s="57">
        <f t="shared" si="12"/>
        <v>5017840.037282872</v>
      </c>
      <c r="AN39" s="57">
        <f t="shared" si="12"/>
        <v>4756246.480836845</v>
      </c>
      <c r="AO39" s="57">
        <f t="shared" si="12"/>
        <v>4508290.5031628869</v>
      </c>
      <c r="AP39" s="57">
        <f t="shared" si="12"/>
        <v>24677688.87375148</v>
      </c>
    </row>
    <row r="41" spans="1:42" x14ac:dyDescent="0.2">
      <c r="A41" s="54" t="s">
        <v>12</v>
      </c>
      <c r="B41" s="55">
        <f>SUM(G41:AP41)</f>
        <v>48373944.966226831</v>
      </c>
      <c r="G41" s="56">
        <f>G31*G33</f>
        <v>0</v>
      </c>
      <c r="H41" s="56">
        <f>H31*H33</f>
        <v>0</v>
      </c>
      <c r="I41" s="57">
        <f t="shared" ref="I41:AP41" si="13">I31*I33</f>
        <v>0</v>
      </c>
      <c r="J41" s="57">
        <f t="shared" si="13"/>
        <v>0</v>
      </c>
      <c r="K41" s="58">
        <f t="shared" si="13"/>
        <v>0</v>
      </c>
      <c r="L41" s="57">
        <f t="shared" si="13"/>
        <v>3154870.2689389377</v>
      </c>
      <c r="M41" s="57">
        <f t="shared" si="13"/>
        <v>2990398.3591838274</v>
      </c>
      <c r="N41" s="57">
        <f t="shared" si="13"/>
        <v>2834500.8143922533</v>
      </c>
      <c r="O41" s="57">
        <f t="shared" si="13"/>
        <v>2686730.6297556912</v>
      </c>
      <c r="P41" s="57">
        <f t="shared" si="13"/>
        <v>2546664.1040338301</v>
      </c>
      <c r="Q41" s="57">
        <f t="shared" si="13"/>
        <v>2413899.6246766164</v>
      </c>
      <c r="R41" s="57">
        <f t="shared" si="13"/>
        <v>2288056.5162811531</v>
      </c>
      <c r="S41" s="57">
        <f t="shared" si="13"/>
        <v>2168773.9490816621</v>
      </c>
      <c r="T41" s="57">
        <f t="shared" si="13"/>
        <v>2055709.9043428076</v>
      </c>
      <c r="U41" s="57">
        <f t="shared" si="13"/>
        <v>1948540.1936898655</v>
      </c>
      <c r="V41" s="57">
        <f t="shared" si="13"/>
        <v>1846957.5295638535</v>
      </c>
      <c r="W41" s="57">
        <f t="shared" si="13"/>
        <v>1750670.6441363541</v>
      </c>
      <c r="X41" s="57">
        <f t="shared" si="13"/>
        <v>1659403.4541576819</v>
      </c>
      <c r="Y41" s="57">
        <f t="shared" si="13"/>
        <v>1572894.2693437743</v>
      </c>
      <c r="Z41" s="57">
        <f t="shared" si="13"/>
        <v>1490895.0420320136</v>
      </c>
      <c r="AA41" s="57">
        <f t="shared" si="13"/>
        <v>1413170.6559545153</v>
      </c>
      <c r="AB41" s="57">
        <f t="shared" si="13"/>
        <v>1339498.252089588</v>
      </c>
      <c r="AC41" s="57">
        <f t="shared" si="13"/>
        <v>1269666.5896583775</v>
      </c>
      <c r="AD41" s="57">
        <f t="shared" si="13"/>
        <v>1203475.440434481</v>
      </c>
      <c r="AE41" s="57">
        <f t="shared" si="13"/>
        <v>1140735.0146298399</v>
      </c>
      <c r="AF41" s="57">
        <f t="shared" si="13"/>
        <v>1081265.4167107488</v>
      </c>
      <c r="AG41" s="57">
        <f t="shared" si="13"/>
        <v>1024896.1295836482</v>
      </c>
      <c r="AH41" s="57">
        <f t="shared" si="13"/>
        <v>971465.52567170456</v>
      </c>
      <c r="AI41" s="57">
        <f t="shared" si="13"/>
        <v>920820.40348028846</v>
      </c>
      <c r="AJ41" s="57">
        <f t="shared" si="13"/>
        <v>872815.54832254851</v>
      </c>
      <c r="AK41" s="57">
        <f t="shared" si="13"/>
        <v>827313.3159455437</v>
      </c>
      <c r="AL41" s="57">
        <f t="shared" si="13"/>
        <v>784183.23786307464</v>
      </c>
      <c r="AM41" s="57">
        <f t="shared" si="13"/>
        <v>743301.64726357791</v>
      </c>
      <c r="AN41" s="57">
        <f t="shared" si="13"/>
        <v>704551.32442045305</v>
      </c>
      <c r="AO41" s="57">
        <f t="shared" si="13"/>
        <v>667821.16058810719</v>
      </c>
      <c r="AP41" s="57">
        <f t="shared" si="13"/>
        <v>0</v>
      </c>
    </row>
    <row r="43" spans="1:42" x14ac:dyDescent="0.2">
      <c r="A43" s="51" t="s">
        <v>13</v>
      </c>
      <c r="B43" s="69">
        <f>B39/B41</f>
        <v>38.870262142982007</v>
      </c>
      <c r="C43" s="59" t="s">
        <v>148</v>
      </c>
      <c r="D43" s="59"/>
    </row>
    <row r="44" spans="1:42" x14ac:dyDescent="0.2">
      <c r="B44" s="66"/>
    </row>
  </sheetData>
  <customSheetViews>
    <customSheetView guid="{6EFC19BA-DD6E-47CD-9957-A134841DA95E}" hiddenRows="1" state="hidden">
      <pane xSplit="1" ySplit="1" topLeftCell="B2" activePane="bottomRight" state="frozen"/>
      <selection pane="bottomRight" activeCell="C10" sqref="C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2" tint="0.79998168889431442"/>
  </sheetPr>
  <dimension ref="A1:AP91"/>
  <sheetViews>
    <sheetView topLeftCell="A6" zoomScaleNormal="100" workbookViewId="0">
      <selection activeCell="A7" sqref="A7"/>
    </sheetView>
  </sheetViews>
  <sheetFormatPr defaultColWidth="9.140625" defaultRowHeight="12.75" x14ac:dyDescent="0.2"/>
  <cols>
    <col min="1" max="1" width="38.140625" style="54" customWidth="1"/>
    <col min="2" max="2" width="17.7109375" style="15" customWidth="1"/>
    <col min="3" max="3" width="27" style="16" customWidth="1"/>
    <col min="4" max="4" width="8.42578125" style="16" customWidth="1"/>
    <col min="5" max="5" width="2.42578125" style="16" customWidth="1"/>
    <col min="6" max="6" width="16.140625" style="15" customWidth="1"/>
    <col min="7" max="7" width="30.5703125" style="17" customWidth="1"/>
    <col min="8" max="9" width="16.140625" style="17" customWidth="1"/>
    <col min="10" max="10" width="16.42578125" style="16" customWidth="1"/>
    <col min="11" max="11" width="14.42578125" style="60" customWidth="1"/>
    <col min="12" max="12" width="14.42578125" style="16" customWidth="1"/>
    <col min="13" max="13" width="15.140625" style="16" bestFit="1" customWidth="1"/>
    <col min="14" max="26" width="14.28515625" style="16" bestFit="1" customWidth="1"/>
    <col min="27" max="27" width="12.42578125" style="16" customWidth="1"/>
    <col min="28" max="28" width="12.7109375" style="16" customWidth="1"/>
    <col min="29" max="31" width="13.140625" style="16" customWidth="1"/>
    <col min="32" max="32" width="18.85546875" style="16" customWidth="1"/>
    <col min="33" max="41" width="13.140625" style="16" bestFit="1" customWidth="1"/>
    <col min="42" max="42" width="14.28515625" style="16" bestFit="1" customWidth="1"/>
    <col min="43" max="50" width="10.28515625" style="16" bestFit="1" customWidth="1"/>
    <col min="51" max="16384" width="9.140625" style="16"/>
  </cols>
  <sheetData>
    <row r="1" spans="1:42" s="7" customFormat="1" x14ac:dyDescent="0.2">
      <c r="A1" s="5"/>
      <c r="B1" s="6" t="s">
        <v>0</v>
      </c>
      <c r="C1" s="7" t="s">
        <v>1</v>
      </c>
      <c r="F1" s="6" t="s">
        <v>2</v>
      </c>
      <c r="G1" s="8">
        <v>-4</v>
      </c>
      <c r="H1" s="8">
        <v>-3</v>
      </c>
      <c r="I1" s="8">
        <v>-2</v>
      </c>
      <c r="J1" s="8">
        <v>-1</v>
      </c>
      <c r="K1" s="9">
        <v>0</v>
      </c>
      <c r="L1" s="8">
        <v>1</v>
      </c>
      <c r="M1" s="8">
        <v>2</v>
      </c>
      <c r="N1" s="8">
        <v>3</v>
      </c>
      <c r="O1" s="8">
        <v>4</v>
      </c>
      <c r="P1" s="8">
        <v>5</v>
      </c>
      <c r="Q1" s="8">
        <v>6</v>
      </c>
      <c r="R1" s="8">
        <v>7</v>
      </c>
      <c r="S1" s="8">
        <v>8</v>
      </c>
      <c r="T1" s="8">
        <v>9</v>
      </c>
      <c r="U1" s="8">
        <v>10</v>
      </c>
      <c r="V1" s="8">
        <v>11</v>
      </c>
      <c r="W1" s="8">
        <v>12</v>
      </c>
      <c r="X1" s="8">
        <v>13</v>
      </c>
      <c r="Y1" s="8">
        <v>14</v>
      </c>
      <c r="Z1" s="8">
        <v>15</v>
      </c>
      <c r="AA1" s="8">
        <v>16</v>
      </c>
      <c r="AB1" s="8">
        <v>17</v>
      </c>
      <c r="AC1" s="8">
        <v>18</v>
      </c>
      <c r="AD1" s="8">
        <v>19</v>
      </c>
      <c r="AE1" s="8">
        <v>20</v>
      </c>
      <c r="AF1" s="8">
        <v>21</v>
      </c>
      <c r="AG1" s="8">
        <v>22</v>
      </c>
      <c r="AH1" s="8">
        <v>23</v>
      </c>
      <c r="AI1" s="8">
        <v>24</v>
      </c>
      <c r="AJ1" s="8">
        <v>25</v>
      </c>
      <c r="AK1" s="8">
        <v>26</v>
      </c>
      <c r="AL1" s="8">
        <v>27</v>
      </c>
      <c r="AM1" s="8">
        <v>28</v>
      </c>
      <c r="AN1" s="8">
        <v>29</v>
      </c>
      <c r="AO1" s="8">
        <v>30</v>
      </c>
      <c r="AP1" s="8">
        <v>31</v>
      </c>
    </row>
    <row r="2" spans="1:42" s="63" customFormat="1" x14ac:dyDescent="0.2">
      <c r="A2" s="61" t="s">
        <v>45</v>
      </c>
      <c r="B2" s="62"/>
      <c r="F2" s="62"/>
      <c r="G2" s="63">
        <v>0</v>
      </c>
      <c r="H2" s="63">
        <v>0</v>
      </c>
      <c r="I2" s="63">
        <v>0</v>
      </c>
      <c r="J2" s="63">
        <v>0</v>
      </c>
      <c r="K2" s="64">
        <v>0</v>
      </c>
      <c r="L2" s="63">
        <f>IF(L1&lt;=Calculator!$C$71,1,0)</f>
        <v>1</v>
      </c>
      <c r="M2" s="63">
        <f>IF(M1&lt;=Calculator!$C$71,1,0)</f>
        <v>1</v>
      </c>
      <c r="N2" s="63">
        <f>IF(N1&lt;=Calculator!$C$71,1,0)</f>
        <v>1</v>
      </c>
      <c r="O2" s="63">
        <f>IF(O1&lt;=Calculator!$C$71,1,0)</f>
        <v>1</v>
      </c>
      <c r="P2" s="63">
        <f>IF(P1&lt;=Calculator!$C$71,1,0)</f>
        <v>1</v>
      </c>
      <c r="Q2" s="63">
        <f>IF(Q1&lt;=Calculator!$C$71,1,0)</f>
        <v>1</v>
      </c>
      <c r="R2" s="63">
        <f>IF(R1&lt;=Calculator!$C$71,1,0)</f>
        <v>1</v>
      </c>
      <c r="S2" s="63">
        <f>IF(S1&lt;=Calculator!$C$71,1,0)</f>
        <v>1</v>
      </c>
      <c r="T2" s="63">
        <f>IF(T1&lt;=Calculator!$C$71,1,0)</f>
        <v>1</v>
      </c>
      <c r="U2" s="63">
        <f>IF(U1&lt;=Calculator!$C$71,1,0)</f>
        <v>1</v>
      </c>
      <c r="V2" s="63">
        <f>IF(V1&lt;=Calculator!$C$71,1,0)</f>
        <v>1</v>
      </c>
      <c r="W2" s="63">
        <f>IF(W1&lt;=Calculator!$C$71,1,0)</f>
        <v>1</v>
      </c>
      <c r="X2" s="63">
        <f>IF(X1&lt;=Calculator!$C$71,1,0)</f>
        <v>1</v>
      </c>
      <c r="Y2" s="63">
        <f>IF(Y1&lt;=Calculator!$C$71,1,0)</f>
        <v>1</v>
      </c>
      <c r="Z2" s="63">
        <f>IF(Z1&lt;=Calculator!$C$71,1,0)</f>
        <v>1</v>
      </c>
      <c r="AA2" s="63">
        <f>IF(AA1&lt;=Calculator!$C$71,1,0)</f>
        <v>1</v>
      </c>
      <c r="AB2" s="63">
        <f>IF(AB1&lt;=Calculator!$C$71,1,0)</f>
        <v>1</v>
      </c>
      <c r="AC2" s="63">
        <f>IF(AC1&lt;=Calculator!$C$71,1,0)</f>
        <v>1</v>
      </c>
      <c r="AD2" s="63">
        <f>IF(AD1&lt;=Calculator!$C$71,1,0)</f>
        <v>1</v>
      </c>
      <c r="AE2" s="63">
        <f>IF(AE1&lt;=Calculator!$C$71,1,0)</f>
        <v>1</v>
      </c>
      <c r="AF2" s="63">
        <f>IF(AF1&lt;=Calculator!$C$71,1,0)</f>
        <v>1</v>
      </c>
      <c r="AG2" s="63">
        <f>IF(AG1&lt;=Calculator!$C$71,1,0)</f>
        <v>1</v>
      </c>
      <c r="AH2" s="63">
        <f>IF(AH1&lt;=Calculator!$C$71,1,0)</f>
        <v>1</v>
      </c>
      <c r="AI2" s="63">
        <f>IF(AI1&lt;=Calculator!$C$71,1,0)</f>
        <v>1</v>
      </c>
      <c r="AJ2" s="63">
        <f>IF(AJ1&lt;=Calculator!$C$71,1,0)</f>
        <v>1</v>
      </c>
      <c r="AK2" s="63">
        <f>IF(AK1&lt;=Calculator!$C$71,1,0)</f>
        <v>1</v>
      </c>
      <c r="AL2" s="63">
        <f>IF(AL1&lt;=Calculator!$C$71,1,0)</f>
        <v>1</v>
      </c>
      <c r="AM2" s="63">
        <f>IF(AM1&lt;=Calculator!$C$71,1,0)</f>
        <v>1</v>
      </c>
      <c r="AN2" s="63">
        <f>IF(AN1&lt;=Calculator!$C$71,1,0)</f>
        <v>1</v>
      </c>
      <c r="AO2" s="63">
        <f>IF(AO1&lt;=Calculator!$C$71,1,0)</f>
        <v>1</v>
      </c>
      <c r="AP2" s="63">
        <f>IF(AP1&lt;=Calculator!$C$71,1,0)</f>
        <v>0</v>
      </c>
    </row>
    <row r="3" spans="1:42" s="63" customFormat="1" x14ac:dyDescent="0.2">
      <c r="A3" s="61" t="s">
        <v>46</v>
      </c>
      <c r="B3" s="62"/>
      <c r="F3" s="62"/>
      <c r="K3" s="64"/>
      <c r="L3" s="63">
        <v>0</v>
      </c>
      <c r="M3" s="63">
        <f>IF(L2+M2=1,1,0)</f>
        <v>0</v>
      </c>
      <c r="N3" s="63">
        <f t="shared" ref="N3:AN3" si="0">IF(M2+N2=1,1,0)</f>
        <v>0</v>
      </c>
      <c r="O3" s="63">
        <f t="shared" si="0"/>
        <v>0</v>
      </c>
      <c r="P3" s="63">
        <f t="shared" si="0"/>
        <v>0</v>
      </c>
      <c r="Q3" s="63">
        <f t="shared" si="0"/>
        <v>0</v>
      </c>
      <c r="R3" s="63">
        <f t="shared" si="0"/>
        <v>0</v>
      </c>
      <c r="S3" s="63">
        <f t="shared" si="0"/>
        <v>0</v>
      </c>
      <c r="T3" s="63">
        <f t="shared" si="0"/>
        <v>0</v>
      </c>
      <c r="U3" s="63">
        <f t="shared" si="0"/>
        <v>0</v>
      </c>
      <c r="V3" s="63">
        <f t="shared" si="0"/>
        <v>0</v>
      </c>
      <c r="W3" s="63">
        <f t="shared" si="0"/>
        <v>0</v>
      </c>
      <c r="X3" s="63">
        <f t="shared" si="0"/>
        <v>0</v>
      </c>
      <c r="Y3" s="63">
        <f t="shared" si="0"/>
        <v>0</v>
      </c>
      <c r="Z3" s="63">
        <f t="shared" si="0"/>
        <v>0</v>
      </c>
      <c r="AA3" s="63">
        <f t="shared" si="0"/>
        <v>0</v>
      </c>
      <c r="AB3" s="63">
        <f t="shared" si="0"/>
        <v>0</v>
      </c>
      <c r="AC3" s="63">
        <f t="shared" si="0"/>
        <v>0</v>
      </c>
      <c r="AD3" s="63">
        <f t="shared" si="0"/>
        <v>0</v>
      </c>
      <c r="AE3" s="63">
        <f t="shared" si="0"/>
        <v>0</v>
      </c>
      <c r="AF3" s="63">
        <f>IF(AE2+AF2=1,1,0)</f>
        <v>0</v>
      </c>
      <c r="AG3" s="63">
        <f t="shared" si="0"/>
        <v>0</v>
      </c>
      <c r="AH3" s="63">
        <f t="shared" si="0"/>
        <v>0</v>
      </c>
      <c r="AI3" s="63">
        <f t="shared" si="0"/>
        <v>0</v>
      </c>
      <c r="AJ3" s="63">
        <f t="shared" si="0"/>
        <v>0</v>
      </c>
      <c r="AK3" s="63">
        <f t="shared" si="0"/>
        <v>0</v>
      </c>
      <c r="AL3" s="63">
        <f t="shared" si="0"/>
        <v>0</v>
      </c>
      <c r="AM3" s="63">
        <f t="shared" si="0"/>
        <v>0</v>
      </c>
      <c r="AN3" s="63">
        <f t="shared" si="0"/>
        <v>0</v>
      </c>
      <c r="AO3" s="63">
        <f>IF(AN2+AO2=1,1,0)</f>
        <v>0</v>
      </c>
      <c r="AP3" s="63">
        <f>IF(AO2+AP2=1,1,0)</f>
        <v>1</v>
      </c>
    </row>
    <row r="4" spans="1:42" s="12" customFormat="1" x14ac:dyDescent="0.2">
      <c r="A4" s="14"/>
      <c r="B4" s="16"/>
      <c r="C4" s="16"/>
      <c r="D4" s="16"/>
      <c r="F4" s="11"/>
      <c r="G4" s="149"/>
      <c r="H4" s="149"/>
      <c r="I4" s="149"/>
      <c r="J4" s="149"/>
      <c r="K4" s="150"/>
    </row>
    <row r="5" spans="1:42" s="12" customFormat="1" x14ac:dyDescent="0.2">
      <c r="A5" s="10" t="s">
        <v>20</v>
      </c>
      <c r="B5" s="17"/>
      <c r="C5" s="17"/>
      <c r="D5" s="16"/>
      <c r="F5" s="11"/>
      <c r="G5" s="182">
        <f t="shared" ref="G5:L5" si="1">G16/SUM($G$16:$L$16)</f>
        <v>2.386798770541065E-2</v>
      </c>
      <c r="H5" s="182">
        <f t="shared" si="1"/>
        <v>5.3678374822630139E-2</v>
      </c>
      <c r="I5" s="182">
        <f t="shared" si="1"/>
        <v>0.20433250306121115</v>
      </c>
      <c r="J5" s="182">
        <f t="shared" si="1"/>
        <v>0.34893277878636114</v>
      </c>
      <c r="K5" s="183">
        <f t="shared" si="1"/>
        <v>0.35040576609081442</v>
      </c>
      <c r="L5" s="70">
        <f t="shared" si="1"/>
        <v>1.8782589533572584E-2</v>
      </c>
      <c r="M5" s="21">
        <v>0</v>
      </c>
      <c r="N5" s="21">
        <v>0</v>
      </c>
      <c r="O5" s="21">
        <v>0</v>
      </c>
      <c r="P5" s="21">
        <v>0</v>
      </c>
      <c r="Q5" s="21">
        <v>0</v>
      </c>
      <c r="R5" s="21">
        <v>0</v>
      </c>
      <c r="S5" s="21">
        <v>0</v>
      </c>
      <c r="T5" s="21">
        <v>0</v>
      </c>
      <c r="U5" s="21">
        <v>0</v>
      </c>
      <c r="V5" s="21">
        <v>0</v>
      </c>
      <c r="W5" s="21">
        <v>0</v>
      </c>
      <c r="X5" s="21">
        <v>0</v>
      </c>
      <c r="Y5" s="21">
        <v>0</v>
      </c>
      <c r="Z5" s="21">
        <v>0</v>
      </c>
      <c r="AA5" s="21">
        <v>0</v>
      </c>
      <c r="AB5" s="21">
        <v>0</v>
      </c>
      <c r="AC5" s="21">
        <v>0</v>
      </c>
      <c r="AD5" s="21">
        <v>0</v>
      </c>
      <c r="AE5" s="21">
        <v>0</v>
      </c>
      <c r="AF5" s="21">
        <v>0</v>
      </c>
      <c r="AG5" s="21">
        <v>0</v>
      </c>
      <c r="AH5" s="21">
        <v>0</v>
      </c>
      <c r="AI5" s="21">
        <v>0</v>
      </c>
      <c r="AJ5" s="21">
        <v>0</v>
      </c>
      <c r="AK5" s="21">
        <v>0</v>
      </c>
      <c r="AL5" s="21">
        <v>0</v>
      </c>
      <c r="AM5" s="21">
        <v>0</v>
      </c>
      <c r="AN5" s="21">
        <v>0</v>
      </c>
      <c r="AO5" s="21">
        <v>0</v>
      </c>
      <c r="AP5" s="21">
        <v>0</v>
      </c>
    </row>
    <row r="6" spans="1:42" s="12" customFormat="1" ht="25.5" x14ac:dyDescent="0.2">
      <c r="A6" s="18" t="s">
        <v>43</v>
      </c>
      <c r="B6" s="19"/>
      <c r="C6" s="240">
        <f>Calculator!$C39*1000</f>
        <v>41700</v>
      </c>
      <c r="D6" s="16"/>
      <c r="F6" s="151"/>
      <c r="G6" s="30">
        <v>1</v>
      </c>
      <c r="H6" s="21">
        <v>0</v>
      </c>
      <c r="I6" s="21">
        <v>0</v>
      </c>
      <c r="J6" s="21">
        <v>0</v>
      </c>
      <c r="K6" s="22">
        <v>0</v>
      </c>
      <c r="L6" s="21">
        <v>0</v>
      </c>
      <c r="M6" s="21">
        <v>0</v>
      </c>
      <c r="N6" s="21">
        <v>0</v>
      </c>
      <c r="O6" s="21">
        <v>0</v>
      </c>
      <c r="P6" s="21">
        <v>0</v>
      </c>
      <c r="Q6" s="21">
        <v>0</v>
      </c>
      <c r="R6" s="21">
        <v>0</v>
      </c>
      <c r="S6" s="21">
        <v>0</v>
      </c>
      <c r="T6" s="21">
        <v>0</v>
      </c>
      <c r="U6" s="21">
        <v>0</v>
      </c>
      <c r="V6" s="21">
        <v>0</v>
      </c>
      <c r="W6" s="21">
        <v>0</v>
      </c>
      <c r="X6" s="21">
        <v>0</v>
      </c>
      <c r="Y6" s="21">
        <v>0</v>
      </c>
      <c r="Z6" s="21">
        <v>0</v>
      </c>
      <c r="AA6" s="21">
        <v>0</v>
      </c>
      <c r="AB6" s="21">
        <v>0</v>
      </c>
      <c r="AC6" s="21">
        <v>0</v>
      </c>
      <c r="AD6" s="21">
        <v>0</v>
      </c>
      <c r="AE6" s="21">
        <v>0</v>
      </c>
      <c r="AF6" s="21">
        <v>0</v>
      </c>
      <c r="AG6" s="21">
        <v>0</v>
      </c>
      <c r="AH6" s="21">
        <v>0</v>
      </c>
      <c r="AI6" s="21">
        <v>0</v>
      </c>
      <c r="AJ6" s="21">
        <v>0</v>
      </c>
      <c r="AK6" s="21">
        <v>0</v>
      </c>
      <c r="AL6" s="21">
        <v>0</v>
      </c>
      <c r="AM6" s="21">
        <v>0</v>
      </c>
      <c r="AN6" s="21">
        <v>0</v>
      </c>
      <c r="AO6" s="21">
        <v>0</v>
      </c>
      <c r="AP6" s="21">
        <v>0</v>
      </c>
    </row>
    <row r="7" spans="1:42" s="12" customFormat="1" ht="12.75" customHeight="1" x14ac:dyDescent="0.2">
      <c r="A7" s="18" t="s">
        <v>44</v>
      </c>
      <c r="B7" s="23"/>
      <c r="C7" s="240">
        <f>Calculator!$C40*1000</f>
        <v>41700</v>
      </c>
      <c r="D7" s="20"/>
      <c r="F7" s="151"/>
      <c r="G7" s="21">
        <v>0</v>
      </c>
      <c r="H7" s="21">
        <v>0.1919016895660326</v>
      </c>
      <c r="I7" s="21">
        <v>0.24092973866691347</v>
      </c>
      <c r="J7" s="21">
        <v>0.26830932687308429</v>
      </c>
      <c r="K7" s="22">
        <v>0.27385924489396984</v>
      </c>
      <c r="L7" s="21">
        <v>2.5000000000000005E-2</v>
      </c>
      <c r="M7" s="21">
        <v>0</v>
      </c>
      <c r="N7" s="21">
        <v>0</v>
      </c>
      <c r="O7" s="21">
        <v>0</v>
      </c>
      <c r="P7" s="21">
        <v>0</v>
      </c>
      <c r="Q7" s="21">
        <v>0</v>
      </c>
      <c r="R7" s="21">
        <v>0</v>
      </c>
      <c r="S7" s="21">
        <v>0</v>
      </c>
      <c r="T7" s="21">
        <v>0</v>
      </c>
      <c r="U7" s="21">
        <v>0</v>
      </c>
      <c r="V7" s="21">
        <v>0</v>
      </c>
      <c r="W7" s="21">
        <v>0</v>
      </c>
      <c r="X7" s="21">
        <v>0</v>
      </c>
      <c r="Y7" s="21">
        <v>0</v>
      </c>
      <c r="Z7" s="21">
        <v>0</v>
      </c>
      <c r="AA7" s="21">
        <v>0</v>
      </c>
      <c r="AB7" s="21">
        <v>0</v>
      </c>
      <c r="AC7" s="21">
        <v>0</v>
      </c>
      <c r="AD7" s="21">
        <v>0</v>
      </c>
      <c r="AE7" s="21">
        <v>0</v>
      </c>
      <c r="AF7" s="21">
        <v>0</v>
      </c>
      <c r="AG7" s="21">
        <v>0</v>
      </c>
      <c r="AH7" s="21">
        <v>0</v>
      </c>
      <c r="AI7" s="21">
        <v>0</v>
      </c>
      <c r="AJ7" s="21">
        <v>0</v>
      </c>
      <c r="AK7" s="21">
        <v>0</v>
      </c>
      <c r="AL7" s="21">
        <v>0</v>
      </c>
      <c r="AM7" s="21">
        <v>0</v>
      </c>
      <c r="AN7" s="21">
        <v>0</v>
      </c>
      <c r="AO7" s="21">
        <v>0</v>
      </c>
      <c r="AP7" s="21">
        <v>0</v>
      </c>
    </row>
    <row r="8" spans="1:42" s="12" customFormat="1" ht="12.75" customHeight="1" x14ac:dyDescent="0.2">
      <c r="A8" s="18" t="s">
        <v>25</v>
      </c>
      <c r="B8" s="23"/>
      <c r="C8" s="240">
        <f>Calculator!$C47*1000</f>
        <v>37800</v>
      </c>
      <c r="D8" s="20"/>
      <c r="F8" s="151"/>
      <c r="G8" s="21">
        <v>0</v>
      </c>
      <c r="H8" s="21">
        <v>0.25</v>
      </c>
      <c r="I8" s="21">
        <v>0.25</v>
      </c>
      <c r="J8" s="21">
        <v>0.25</v>
      </c>
      <c r="K8" s="22">
        <v>0.25</v>
      </c>
      <c r="L8" s="21">
        <v>0</v>
      </c>
      <c r="M8" s="21">
        <v>0</v>
      </c>
      <c r="N8" s="21">
        <v>0</v>
      </c>
      <c r="O8" s="21">
        <v>0</v>
      </c>
      <c r="P8" s="21">
        <v>0</v>
      </c>
      <c r="Q8" s="21">
        <v>0</v>
      </c>
      <c r="R8" s="21">
        <v>0</v>
      </c>
      <c r="S8" s="21">
        <v>0</v>
      </c>
      <c r="T8" s="21">
        <v>0</v>
      </c>
      <c r="U8" s="21">
        <v>0</v>
      </c>
      <c r="V8" s="21">
        <v>0</v>
      </c>
      <c r="W8" s="21">
        <v>0</v>
      </c>
      <c r="X8" s="21">
        <v>0</v>
      </c>
      <c r="Y8" s="21">
        <v>0</v>
      </c>
      <c r="Z8" s="21">
        <v>0</v>
      </c>
      <c r="AA8" s="21">
        <v>0</v>
      </c>
      <c r="AB8" s="21">
        <v>0</v>
      </c>
      <c r="AC8" s="21">
        <v>0</v>
      </c>
      <c r="AD8" s="21">
        <v>0</v>
      </c>
      <c r="AE8" s="21">
        <v>0</v>
      </c>
      <c r="AF8" s="21">
        <v>0</v>
      </c>
      <c r="AG8" s="21">
        <v>0</v>
      </c>
      <c r="AH8" s="21">
        <v>0</v>
      </c>
      <c r="AI8" s="21">
        <v>0</v>
      </c>
      <c r="AJ8" s="21">
        <v>0</v>
      </c>
      <c r="AK8" s="21">
        <v>0</v>
      </c>
      <c r="AL8" s="21">
        <v>0</v>
      </c>
      <c r="AM8" s="21">
        <v>0</v>
      </c>
      <c r="AN8" s="21">
        <v>0</v>
      </c>
      <c r="AO8" s="21">
        <v>0</v>
      </c>
      <c r="AP8" s="21">
        <v>0</v>
      </c>
    </row>
    <row r="9" spans="1:42" s="12" customFormat="1" x14ac:dyDescent="0.2">
      <c r="A9" s="18" t="s">
        <v>14</v>
      </c>
      <c r="B9" s="23"/>
      <c r="C9" s="240">
        <f>Calculator!$C41*1000</f>
        <v>811400</v>
      </c>
      <c r="D9" s="20"/>
      <c r="F9" s="151"/>
      <c r="G9" s="21">
        <v>0</v>
      </c>
      <c r="H9" s="21">
        <v>3.1558886299983763E-3</v>
      </c>
      <c r="I9" s="21">
        <v>0.17442881516390984</v>
      </c>
      <c r="J9" s="21">
        <v>0.38403654897026329</v>
      </c>
      <c r="K9" s="22">
        <v>0.41337874723582851</v>
      </c>
      <c r="L9" s="21">
        <v>2.5000000000000001E-2</v>
      </c>
      <c r="M9" s="21">
        <v>0</v>
      </c>
      <c r="N9" s="21">
        <v>0</v>
      </c>
      <c r="O9" s="21">
        <v>0</v>
      </c>
      <c r="P9" s="21">
        <v>0</v>
      </c>
      <c r="Q9" s="21">
        <v>0</v>
      </c>
      <c r="R9" s="21">
        <v>0</v>
      </c>
      <c r="S9" s="21">
        <v>0</v>
      </c>
      <c r="T9" s="21">
        <v>0</v>
      </c>
      <c r="U9" s="21">
        <v>0</v>
      </c>
      <c r="V9" s="21">
        <v>0</v>
      </c>
      <c r="W9" s="21">
        <v>0</v>
      </c>
      <c r="X9" s="21">
        <v>0</v>
      </c>
      <c r="Y9" s="21">
        <v>0</v>
      </c>
      <c r="Z9" s="21">
        <v>0</v>
      </c>
      <c r="AA9" s="21">
        <v>0</v>
      </c>
      <c r="AB9" s="21">
        <v>0</v>
      </c>
      <c r="AC9" s="21">
        <v>0</v>
      </c>
      <c r="AD9" s="21">
        <v>0</v>
      </c>
      <c r="AE9" s="21">
        <v>0</v>
      </c>
      <c r="AF9" s="21">
        <v>0</v>
      </c>
      <c r="AG9" s="21">
        <v>0</v>
      </c>
      <c r="AH9" s="21">
        <v>0</v>
      </c>
      <c r="AI9" s="21">
        <v>0</v>
      </c>
      <c r="AJ9" s="21">
        <v>0</v>
      </c>
      <c r="AK9" s="21">
        <v>0</v>
      </c>
      <c r="AL9" s="21">
        <v>0</v>
      </c>
      <c r="AM9" s="21">
        <v>0</v>
      </c>
      <c r="AN9" s="21">
        <v>0</v>
      </c>
      <c r="AO9" s="21">
        <v>0</v>
      </c>
      <c r="AP9" s="21">
        <v>0</v>
      </c>
    </row>
    <row r="10" spans="1:42" s="12" customFormat="1" x14ac:dyDescent="0.2">
      <c r="A10" s="18" t="s">
        <v>69</v>
      </c>
      <c r="B10" s="23"/>
      <c r="C10" s="240">
        <f>Calculator!$C42*1000</f>
        <v>70800</v>
      </c>
      <c r="D10" s="20"/>
      <c r="F10" s="151"/>
      <c r="G10" s="21">
        <v>0</v>
      </c>
      <c r="H10" s="21">
        <v>3.1558886299983763E-3</v>
      </c>
      <c r="I10" s="21">
        <v>0.17442881516390984</v>
      </c>
      <c r="J10" s="21">
        <v>0.38403654897026329</v>
      </c>
      <c r="K10" s="22">
        <v>0.41337874723582851</v>
      </c>
      <c r="L10" s="21">
        <v>2.5000000000000001E-2</v>
      </c>
      <c r="M10" s="21">
        <v>0</v>
      </c>
      <c r="N10" s="21">
        <v>0</v>
      </c>
      <c r="O10" s="21">
        <v>0</v>
      </c>
      <c r="P10" s="21">
        <v>0</v>
      </c>
      <c r="Q10" s="21">
        <v>0</v>
      </c>
      <c r="R10" s="21">
        <v>0</v>
      </c>
      <c r="S10" s="21">
        <v>0</v>
      </c>
      <c r="T10" s="21">
        <v>0</v>
      </c>
      <c r="U10" s="21">
        <v>0</v>
      </c>
      <c r="V10" s="21">
        <v>0</v>
      </c>
      <c r="W10" s="21">
        <v>0</v>
      </c>
      <c r="X10" s="21">
        <v>0</v>
      </c>
      <c r="Y10" s="21">
        <v>0</v>
      </c>
      <c r="Z10" s="21">
        <v>0</v>
      </c>
      <c r="AA10" s="21">
        <v>0</v>
      </c>
      <c r="AB10" s="21">
        <v>0</v>
      </c>
      <c r="AC10" s="21">
        <v>0</v>
      </c>
      <c r="AD10" s="21">
        <v>0</v>
      </c>
      <c r="AE10" s="21">
        <v>0</v>
      </c>
      <c r="AF10" s="21">
        <v>0</v>
      </c>
      <c r="AG10" s="21">
        <v>0</v>
      </c>
      <c r="AH10" s="21">
        <v>0</v>
      </c>
      <c r="AI10" s="21">
        <v>0</v>
      </c>
      <c r="AJ10" s="21">
        <v>0</v>
      </c>
      <c r="AK10" s="21">
        <v>0</v>
      </c>
      <c r="AL10" s="21">
        <v>0</v>
      </c>
      <c r="AM10" s="21">
        <v>0</v>
      </c>
      <c r="AN10" s="21">
        <v>0</v>
      </c>
      <c r="AO10" s="21">
        <v>0</v>
      </c>
      <c r="AP10" s="21">
        <v>0</v>
      </c>
    </row>
    <row r="11" spans="1:42" s="12" customFormat="1" x14ac:dyDescent="0.2">
      <c r="A11" s="18" t="s">
        <v>119</v>
      </c>
      <c r="B11" s="23"/>
      <c r="C11" s="240">
        <f>Calculator!$C43*1000</f>
        <v>178200</v>
      </c>
      <c r="D11" s="20"/>
      <c r="F11" s="151"/>
      <c r="G11" s="21">
        <v>0</v>
      </c>
      <c r="H11" s="21">
        <v>0</v>
      </c>
      <c r="I11" s="21">
        <v>6.6460142658129148E-2</v>
      </c>
      <c r="J11" s="21">
        <v>0.3974912543241248</v>
      </c>
      <c r="K11" s="22">
        <v>0.51104860301774613</v>
      </c>
      <c r="L11" s="21">
        <v>2.5000000000000001E-2</v>
      </c>
      <c r="M11" s="21">
        <v>0</v>
      </c>
      <c r="N11" s="21">
        <v>0</v>
      </c>
      <c r="O11" s="21">
        <v>0</v>
      </c>
      <c r="P11" s="21">
        <v>0</v>
      </c>
      <c r="Q11" s="21">
        <v>0</v>
      </c>
      <c r="R11" s="21">
        <v>0</v>
      </c>
      <c r="S11" s="21">
        <v>0</v>
      </c>
      <c r="T11" s="21">
        <v>0</v>
      </c>
      <c r="U11" s="21">
        <v>0</v>
      </c>
      <c r="V11" s="21">
        <v>0</v>
      </c>
      <c r="W11" s="21">
        <v>0</v>
      </c>
      <c r="X11" s="21">
        <v>0</v>
      </c>
      <c r="Y11" s="21">
        <v>0</v>
      </c>
      <c r="Z11" s="21">
        <v>0</v>
      </c>
      <c r="AA11" s="21">
        <v>0</v>
      </c>
      <c r="AB11" s="21">
        <v>0</v>
      </c>
      <c r="AC11" s="21">
        <v>0</v>
      </c>
      <c r="AD11" s="21">
        <v>0</v>
      </c>
      <c r="AE11" s="21">
        <v>0</v>
      </c>
      <c r="AF11" s="21">
        <v>0</v>
      </c>
      <c r="AG11" s="21">
        <v>0</v>
      </c>
      <c r="AH11" s="21">
        <v>0</v>
      </c>
      <c r="AI11" s="21">
        <v>0</v>
      </c>
      <c r="AJ11" s="21">
        <v>0</v>
      </c>
      <c r="AK11" s="21">
        <v>0</v>
      </c>
      <c r="AL11" s="21">
        <v>0</v>
      </c>
      <c r="AM11" s="21">
        <v>0</v>
      </c>
      <c r="AN11" s="21">
        <v>0</v>
      </c>
      <c r="AO11" s="21">
        <v>0</v>
      </c>
      <c r="AP11" s="21">
        <v>0</v>
      </c>
    </row>
    <row r="12" spans="1:42" s="12" customFormat="1" x14ac:dyDescent="0.2">
      <c r="A12" s="18" t="s">
        <v>16</v>
      </c>
      <c r="B12" s="24"/>
      <c r="C12" s="240">
        <f>Calculator!$C44*1000</f>
        <v>22700</v>
      </c>
      <c r="D12" s="25"/>
      <c r="F12" s="151"/>
      <c r="G12" s="21">
        <v>0</v>
      </c>
      <c r="H12" s="21">
        <v>1.9365640179612301E-2</v>
      </c>
      <c r="I12" s="21">
        <v>0.95563435982038758</v>
      </c>
      <c r="J12" s="21">
        <v>2.5000000000000001E-2</v>
      </c>
      <c r="K12" s="22">
        <v>0</v>
      </c>
      <c r="L12" s="21">
        <v>0</v>
      </c>
      <c r="M12" s="21">
        <v>0</v>
      </c>
      <c r="N12" s="21">
        <v>0</v>
      </c>
      <c r="O12" s="21">
        <v>0</v>
      </c>
      <c r="P12" s="21">
        <v>0</v>
      </c>
      <c r="Q12" s="21">
        <v>0</v>
      </c>
      <c r="R12" s="21">
        <v>0</v>
      </c>
      <c r="S12" s="21">
        <v>0</v>
      </c>
      <c r="T12" s="21">
        <v>0</v>
      </c>
      <c r="U12" s="21">
        <v>0</v>
      </c>
      <c r="V12" s="21">
        <v>0</v>
      </c>
      <c r="W12" s="21">
        <v>0</v>
      </c>
      <c r="X12" s="21">
        <v>0</v>
      </c>
      <c r="Y12" s="21">
        <v>0</v>
      </c>
      <c r="Z12" s="21">
        <v>0</v>
      </c>
      <c r="AA12" s="21">
        <v>0</v>
      </c>
      <c r="AB12" s="21">
        <v>0</v>
      </c>
      <c r="AC12" s="21">
        <v>0</v>
      </c>
      <c r="AD12" s="21">
        <v>0</v>
      </c>
      <c r="AE12" s="21">
        <v>0</v>
      </c>
      <c r="AF12" s="21">
        <v>0</v>
      </c>
      <c r="AG12" s="21">
        <v>0</v>
      </c>
      <c r="AH12" s="21">
        <v>0</v>
      </c>
      <c r="AI12" s="21">
        <v>0</v>
      </c>
      <c r="AJ12" s="21">
        <v>0</v>
      </c>
      <c r="AK12" s="21">
        <v>0</v>
      </c>
      <c r="AL12" s="21">
        <v>0</v>
      </c>
      <c r="AM12" s="21">
        <v>0</v>
      </c>
      <c r="AN12" s="21">
        <v>0</v>
      </c>
      <c r="AO12" s="21">
        <v>0</v>
      </c>
      <c r="AP12" s="21">
        <v>0</v>
      </c>
    </row>
    <row r="13" spans="1:42" s="12" customFormat="1" x14ac:dyDescent="0.2">
      <c r="A13" s="18" t="s">
        <v>17</v>
      </c>
      <c r="B13" s="24"/>
      <c r="C13" s="240">
        <f>Calculator!$C45*1000</f>
        <v>131100</v>
      </c>
      <c r="D13" s="25"/>
      <c r="F13" s="151"/>
      <c r="G13" s="21">
        <v>0</v>
      </c>
      <c r="H13" s="21">
        <v>0</v>
      </c>
      <c r="I13" s="21">
        <v>2.5765578531171144E-3</v>
      </c>
      <c r="J13" s="21">
        <v>0.32838802523731137</v>
      </c>
      <c r="K13" s="22">
        <v>0.64403541690957156</v>
      </c>
      <c r="L13" s="21">
        <v>2.5000000000000001E-2</v>
      </c>
      <c r="M13" s="21">
        <v>0</v>
      </c>
      <c r="N13" s="21">
        <v>0</v>
      </c>
      <c r="O13" s="21">
        <v>0</v>
      </c>
      <c r="P13" s="21">
        <v>0</v>
      </c>
      <c r="Q13" s="21">
        <v>0</v>
      </c>
      <c r="R13" s="21">
        <v>0</v>
      </c>
      <c r="S13" s="21">
        <v>0</v>
      </c>
      <c r="T13" s="21">
        <v>0</v>
      </c>
      <c r="U13" s="21">
        <v>0</v>
      </c>
      <c r="V13" s="21">
        <v>0</v>
      </c>
      <c r="W13" s="21">
        <v>0</v>
      </c>
      <c r="X13" s="21">
        <v>0</v>
      </c>
      <c r="Y13" s="21">
        <v>0</v>
      </c>
      <c r="Z13" s="21">
        <v>0</v>
      </c>
      <c r="AA13" s="21">
        <v>0</v>
      </c>
      <c r="AB13" s="21">
        <v>0</v>
      </c>
      <c r="AC13" s="21">
        <v>0</v>
      </c>
      <c r="AD13" s="21">
        <v>0</v>
      </c>
      <c r="AE13" s="21">
        <v>0</v>
      </c>
      <c r="AF13" s="21">
        <v>0</v>
      </c>
      <c r="AG13" s="21">
        <v>0</v>
      </c>
      <c r="AH13" s="21">
        <v>0</v>
      </c>
      <c r="AI13" s="21">
        <v>0</v>
      </c>
      <c r="AJ13" s="21">
        <v>0</v>
      </c>
      <c r="AK13" s="21">
        <v>0</v>
      </c>
      <c r="AL13" s="21">
        <v>0</v>
      </c>
      <c r="AM13" s="21">
        <v>0</v>
      </c>
      <c r="AN13" s="21">
        <v>0</v>
      </c>
      <c r="AO13" s="21">
        <v>0</v>
      </c>
      <c r="AP13" s="21">
        <v>0</v>
      </c>
    </row>
    <row r="14" spans="1:42" s="12" customFormat="1" x14ac:dyDescent="0.2">
      <c r="A14" s="18" t="s">
        <v>55</v>
      </c>
      <c r="B14" s="24"/>
      <c r="C14" s="240">
        <f>Calculator!$C46*1000</f>
        <v>332300</v>
      </c>
      <c r="D14" s="25"/>
      <c r="F14" s="151"/>
      <c r="G14" s="21">
        <v>0</v>
      </c>
      <c r="H14" s="21">
        <v>0.22</v>
      </c>
      <c r="I14" s="21">
        <v>0.45</v>
      </c>
      <c r="J14" s="21">
        <v>0.33</v>
      </c>
      <c r="K14" s="22">
        <v>0</v>
      </c>
      <c r="L14" s="21">
        <v>0</v>
      </c>
      <c r="M14" s="21">
        <v>0</v>
      </c>
      <c r="N14" s="21">
        <v>0</v>
      </c>
      <c r="O14" s="21">
        <v>0</v>
      </c>
      <c r="P14" s="21">
        <v>0</v>
      </c>
      <c r="Q14" s="21">
        <v>0</v>
      </c>
      <c r="R14" s="21">
        <v>0</v>
      </c>
      <c r="S14" s="21">
        <v>0</v>
      </c>
      <c r="T14" s="21">
        <v>0</v>
      </c>
      <c r="U14" s="21">
        <v>0</v>
      </c>
      <c r="V14" s="21">
        <v>0</v>
      </c>
      <c r="W14" s="21">
        <v>0</v>
      </c>
      <c r="X14" s="21">
        <v>0</v>
      </c>
      <c r="Y14" s="21">
        <v>0</v>
      </c>
      <c r="Z14" s="21">
        <v>0</v>
      </c>
      <c r="AA14" s="21">
        <v>0</v>
      </c>
      <c r="AB14" s="21">
        <v>0</v>
      </c>
      <c r="AC14" s="21">
        <v>0</v>
      </c>
      <c r="AD14" s="21">
        <v>0</v>
      </c>
      <c r="AE14" s="21">
        <v>0</v>
      </c>
      <c r="AF14" s="21">
        <v>0</v>
      </c>
      <c r="AG14" s="21">
        <v>0</v>
      </c>
      <c r="AH14" s="21">
        <v>0</v>
      </c>
      <c r="AI14" s="21">
        <v>0</v>
      </c>
      <c r="AJ14" s="21">
        <v>0</v>
      </c>
      <c r="AK14" s="21">
        <v>0</v>
      </c>
      <c r="AL14" s="21">
        <v>0</v>
      </c>
      <c r="AM14" s="21">
        <v>0</v>
      </c>
      <c r="AN14" s="21">
        <v>0</v>
      </c>
      <c r="AO14" s="21">
        <v>0</v>
      </c>
      <c r="AP14" s="21">
        <v>0</v>
      </c>
    </row>
    <row r="15" spans="1:42" s="12" customFormat="1" x14ac:dyDescent="0.2">
      <c r="A15" s="18" t="s">
        <v>54</v>
      </c>
      <c r="B15" s="24"/>
      <c r="C15" s="240">
        <f>Calculator!$C48*1000</f>
        <v>79410</v>
      </c>
      <c r="D15" s="25"/>
      <c r="F15" s="151"/>
      <c r="G15" s="21">
        <v>0</v>
      </c>
      <c r="H15" s="21">
        <v>0</v>
      </c>
      <c r="I15" s="21">
        <v>2.5765578531171144E-3</v>
      </c>
      <c r="J15" s="21">
        <v>0.32838802523731137</v>
      </c>
      <c r="K15" s="22">
        <v>0.64403541690957156</v>
      </c>
      <c r="L15" s="21">
        <v>2.5000000000000001E-2</v>
      </c>
      <c r="M15" s="21">
        <v>0</v>
      </c>
      <c r="N15" s="21">
        <v>0</v>
      </c>
      <c r="O15" s="21">
        <v>0</v>
      </c>
      <c r="P15" s="21">
        <v>0</v>
      </c>
      <c r="Q15" s="21">
        <v>0</v>
      </c>
      <c r="R15" s="21">
        <v>0</v>
      </c>
      <c r="S15" s="21">
        <v>0</v>
      </c>
      <c r="T15" s="21">
        <v>0</v>
      </c>
      <c r="U15" s="21">
        <v>0</v>
      </c>
      <c r="V15" s="21">
        <v>0</v>
      </c>
      <c r="W15" s="21">
        <v>0</v>
      </c>
      <c r="X15" s="21">
        <v>0</v>
      </c>
      <c r="Y15" s="21">
        <v>0</v>
      </c>
      <c r="Z15" s="21">
        <v>0</v>
      </c>
      <c r="AA15" s="21">
        <v>0</v>
      </c>
      <c r="AB15" s="21">
        <v>0</v>
      </c>
      <c r="AC15" s="21">
        <v>0</v>
      </c>
      <c r="AD15" s="21">
        <v>0</v>
      </c>
      <c r="AE15" s="21">
        <v>0</v>
      </c>
      <c r="AF15" s="21">
        <v>0</v>
      </c>
      <c r="AG15" s="21">
        <v>0</v>
      </c>
      <c r="AH15" s="21">
        <v>0</v>
      </c>
      <c r="AI15" s="21">
        <v>0</v>
      </c>
      <c r="AJ15" s="21">
        <v>0</v>
      </c>
      <c r="AK15" s="21">
        <v>0</v>
      </c>
      <c r="AL15" s="21">
        <v>0</v>
      </c>
      <c r="AM15" s="21">
        <v>0</v>
      </c>
      <c r="AN15" s="21">
        <v>0</v>
      </c>
      <c r="AO15" s="21">
        <v>0</v>
      </c>
      <c r="AP15" s="21">
        <v>0</v>
      </c>
    </row>
    <row r="16" spans="1:42" s="28" customFormat="1" x14ac:dyDescent="0.2">
      <c r="A16" s="26" t="s">
        <v>145</v>
      </c>
      <c r="B16" s="242">
        <f>C16*Calculator!$C$72</f>
        <v>1747110000</v>
      </c>
      <c r="C16" s="242">
        <f>SUM(C6:C15)</f>
        <v>1747110</v>
      </c>
      <c r="D16" s="27"/>
      <c r="F16" s="29"/>
      <c r="G16" s="243">
        <f>SUMPRODUCT($C6:$C15,G6:G15)*Calculator!$C$72</f>
        <v>41700000</v>
      </c>
      <c r="H16" s="243">
        <f>SUMPRODUCT($C6:$C15,H6:H15)*Calculator!$C$72</f>
        <v>93782025.436365336</v>
      </c>
      <c r="I16" s="243">
        <f>SUMPRODUCT($C6:$C15,I6:I15)*Calculator!$C$72</f>
        <v>356991359.42327261</v>
      </c>
      <c r="J16" s="243">
        <f>SUMPRODUCT($C6:$C15,J6:J15)*Calculator!$C$72</f>
        <v>609623947.14543939</v>
      </c>
      <c r="K16" s="244">
        <f>SUMPRODUCT($C6:$C15,K6:K15)*Calculator!$C$72</f>
        <v>612197417.99492276</v>
      </c>
      <c r="L16" s="243">
        <f>SUMPRODUCT($C6:$C15,L6:L15)*Calculator!$C$72</f>
        <v>32815250</v>
      </c>
      <c r="M16" s="243">
        <f>SUMPRODUCT($C6:$C15,M6:M15)*Calculator!$C$72</f>
        <v>0</v>
      </c>
      <c r="N16" s="243">
        <f>SUMPRODUCT($C6:$C15,N6:N15)*Calculator!$C$72</f>
        <v>0</v>
      </c>
      <c r="O16" s="243">
        <f>SUMPRODUCT($C6:$C15,O6:O15)*Calculator!$C$72</f>
        <v>0</v>
      </c>
      <c r="P16" s="243">
        <f>SUMPRODUCT($C6:$C15,P6:P15)*Calculator!$C$72</f>
        <v>0</v>
      </c>
      <c r="Q16" s="243">
        <f>SUMPRODUCT($C6:$C15,Q6:Q15)*Calculator!$C$72</f>
        <v>0</v>
      </c>
      <c r="R16" s="243">
        <f>SUMPRODUCT($C6:$C15,R6:R15)*Calculator!$C$72</f>
        <v>0</v>
      </c>
      <c r="S16" s="243">
        <f>SUMPRODUCT($C6:$C15,S6:S15)*Calculator!$C$72</f>
        <v>0</v>
      </c>
      <c r="T16" s="243">
        <f>SUMPRODUCT($C6:$C15,T6:T15)*Calculator!$C$72</f>
        <v>0</v>
      </c>
      <c r="U16" s="243">
        <f>SUMPRODUCT($C6:$C15,U6:U15)*Calculator!$C$72</f>
        <v>0</v>
      </c>
      <c r="V16" s="243">
        <f>SUMPRODUCT($C6:$C15,V6:V15)*Calculator!$C$72</f>
        <v>0</v>
      </c>
      <c r="W16" s="243">
        <f>SUMPRODUCT($C6:$C15,W6:W15)*Calculator!$C$72</f>
        <v>0</v>
      </c>
      <c r="X16" s="243">
        <f>SUMPRODUCT($C6:$C15,X6:X15)*Calculator!$C$72</f>
        <v>0</v>
      </c>
      <c r="Y16" s="243">
        <f>SUMPRODUCT($C6:$C15,Y6:Y15)*Calculator!$C$72</f>
        <v>0</v>
      </c>
      <c r="Z16" s="243">
        <f>SUMPRODUCT($C6:$C15,Z6:Z15)*Calculator!$C$72</f>
        <v>0</v>
      </c>
      <c r="AA16" s="243">
        <f>SUMPRODUCT($C6:$C15,AA6:AA15)*Calculator!$C$72</f>
        <v>0</v>
      </c>
      <c r="AB16" s="243">
        <f>SUMPRODUCT($C6:$C15,AB6:AB15)*Calculator!$C$72</f>
        <v>0</v>
      </c>
      <c r="AC16" s="243">
        <f>SUMPRODUCT($C6:$C15,AC6:AC15)*Calculator!$C$72</f>
        <v>0</v>
      </c>
      <c r="AD16" s="243">
        <f>SUMPRODUCT($C6:$C15,AD6:AD15)*Calculator!$C$72</f>
        <v>0</v>
      </c>
      <c r="AE16" s="243">
        <f>SUMPRODUCT($C6:$C15,AE6:AE15)*Calculator!$C$72</f>
        <v>0</v>
      </c>
      <c r="AF16" s="243">
        <f>SUMPRODUCT($C6:$C15,AF6:AF15)*Calculator!$C$72</f>
        <v>0</v>
      </c>
      <c r="AG16" s="243">
        <f>SUMPRODUCT($C6:$C15,AG6:AG15)*Calculator!$C$72</f>
        <v>0</v>
      </c>
      <c r="AH16" s="243">
        <f>SUMPRODUCT($C6:$C15,AH6:AH15)*Calculator!$C$72</f>
        <v>0</v>
      </c>
      <c r="AI16" s="243">
        <f>SUMPRODUCT($C6:$C15,AI6:AI15)*Calculator!$C$72</f>
        <v>0</v>
      </c>
      <c r="AJ16" s="243">
        <f>SUMPRODUCT($C6:$C15,AJ6:AJ15)*Calculator!$C$72</f>
        <v>0</v>
      </c>
      <c r="AK16" s="243">
        <f>SUMPRODUCT($C6:$C15,AK6:AK15)*Calculator!$C$72</f>
        <v>0</v>
      </c>
      <c r="AL16" s="243">
        <f>SUMPRODUCT($C6:$C15,AL6:AL15)*Calculator!$C$72</f>
        <v>0</v>
      </c>
      <c r="AM16" s="243">
        <f>SUMPRODUCT($C6:$C15,AM6:AM15)*Calculator!$C$72</f>
        <v>0</v>
      </c>
      <c r="AN16" s="243">
        <f>SUMPRODUCT($C6:$C15,AN6:AN15)*Calculator!$C$72</f>
        <v>0</v>
      </c>
      <c r="AO16" s="243">
        <f>SUMPRODUCT($C6:$C15,AO6:AO15)*Calculator!$C$72</f>
        <v>0</v>
      </c>
      <c r="AP16" s="243">
        <f>SUMPRODUCT($C6:$C15,AP6:AP15)*Calculator!$C$72</f>
        <v>0</v>
      </c>
    </row>
    <row r="17" spans="1:42" s="12" customFormat="1" x14ac:dyDescent="0.2">
      <c r="A17" s="14"/>
      <c r="B17" s="24"/>
      <c r="C17" s="24"/>
      <c r="D17" s="25"/>
      <c r="F17" s="11"/>
      <c r="G17" s="21"/>
      <c r="H17" s="21"/>
      <c r="I17" s="21"/>
      <c r="J17" s="21"/>
      <c r="K17" s="67"/>
      <c r="L17" s="21"/>
    </row>
    <row r="18" spans="1:42" s="12" customFormat="1" x14ac:dyDescent="0.2">
      <c r="A18" s="10" t="s">
        <v>21</v>
      </c>
      <c r="B18" s="24"/>
      <c r="C18" s="24"/>
      <c r="D18" s="25"/>
      <c r="F18" s="11"/>
      <c r="G18" s="30"/>
      <c r="H18" s="30"/>
      <c r="I18" s="30"/>
      <c r="J18" s="30"/>
      <c r="K18" s="31"/>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row>
    <row r="19" spans="1:42" s="12" customFormat="1" x14ac:dyDescent="0.2">
      <c r="A19" s="18" t="s">
        <v>30</v>
      </c>
      <c r="B19" s="24"/>
      <c r="C19" s="240">
        <f>Calculator!$C52*1000</f>
        <v>11300</v>
      </c>
      <c r="D19" s="20"/>
      <c r="F19" s="32"/>
      <c r="G19" s="21">
        <f t="shared" ref="G19:K21" si="2">G$2</f>
        <v>0</v>
      </c>
      <c r="H19" s="21">
        <f t="shared" si="2"/>
        <v>0</v>
      </c>
      <c r="I19" s="21">
        <f t="shared" si="2"/>
        <v>0</v>
      </c>
      <c r="J19" s="21">
        <f t="shared" si="2"/>
        <v>0</v>
      </c>
      <c r="K19" s="22">
        <f t="shared" si="2"/>
        <v>0</v>
      </c>
      <c r="L19" s="21">
        <f>L$2</f>
        <v>1</v>
      </c>
      <c r="M19" s="21">
        <f t="shared" ref="M19:AP21" si="3">M$2</f>
        <v>1</v>
      </c>
      <c r="N19" s="21">
        <f t="shared" si="3"/>
        <v>1</v>
      </c>
      <c r="O19" s="21">
        <f t="shared" si="3"/>
        <v>1</v>
      </c>
      <c r="P19" s="21">
        <f t="shared" si="3"/>
        <v>1</v>
      </c>
      <c r="Q19" s="21">
        <f t="shared" si="3"/>
        <v>1</v>
      </c>
      <c r="R19" s="21">
        <f t="shared" si="3"/>
        <v>1</v>
      </c>
      <c r="S19" s="21">
        <f t="shared" si="3"/>
        <v>1</v>
      </c>
      <c r="T19" s="21">
        <f t="shared" si="3"/>
        <v>1</v>
      </c>
      <c r="U19" s="21">
        <f t="shared" si="3"/>
        <v>1</v>
      </c>
      <c r="V19" s="21">
        <f t="shared" si="3"/>
        <v>1</v>
      </c>
      <c r="W19" s="21">
        <f t="shared" si="3"/>
        <v>1</v>
      </c>
      <c r="X19" s="21">
        <f t="shared" si="3"/>
        <v>1</v>
      </c>
      <c r="Y19" s="21">
        <f t="shared" si="3"/>
        <v>1</v>
      </c>
      <c r="Z19" s="21">
        <f t="shared" si="3"/>
        <v>1</v>
      </c>
      <c r="AA19" s="21">
        <f t="shared" si="3"/>
        <v>1</v>
      </c>
      <c r="AB19" s="21">
        <f t="shared" si="3"/>
        <v>1</v>
      </c>
      <c r="AC19" s="21">
        <f t="shared" si="3"/>
        <v>1</v>
      </c>
      <c r="AD19" s="21">
        <f t="shared" si="3"/>
        <v>1</v>
      </c>
      <c r="AE19" s="21">
        <f t="shared" si="3"/>
        <v>1</v>
      </c>
      <c r="AF19" s="21">
        <f t="shared" si="3"/>
        <v>1</v>
      </c>
      <c r="AG19" s="21">
        <f t="shared" si="3"/>
        <v>1</v>
      </c>
      <c r="AH19" s="21">
        <f t="shared" si="3"/>
        <v>1</v>
      </c>
      <c r="AI19" s="21">
        <f t="shared" si="3"/>
        <v>1</v>
      </c>
      <c r="AJ19" s="21">
        <f t="shared" si="3"/>
        <v>1</v>
      </c>
      <c r="AK19" s="21">
        <f t="shared" si="3"/>
        <v>1</v>
      </c>
      <c r="AL19" s="21">
        <f t="shared" si="3"/>
        <v>1</v>
      </c>
      <c r="AM19" s="21">
        <f t="shared" si="3"/>
        <v>1</v>
      </c>
      <c r="AN19" s="21">
        <f t="shared" si="3"/>
        <v>1</v>
      </c>
      <c r="AO19" s="21">
        <f t="shared" si="3"/>
        <v>1</v>
      </c>
      <c r="AP19" s="21">
        <f t="shared" si="3"/>
        <v>0</v>
      </c>
    </row>
    <row r="20" spans="1:42" s="12" customFormat="1" x14ac:dyDescent="0.2">
      <c r="A20" s="18" t="s">
        <v>26</v>
      </c>
      <c r="B20" s="24"/>
      <c r="C20" s="240">
        <f>Calculator!$C53*1000</f>
        <v>3500</v>
      </c>
      <c r="D20" s="20"/>
      <c r="F20" s="32"/>
      <c r="G20" s="21">
        <f t="shared" si="2"/>
        <v>0</v>
      </c>
      <c r="H20" s="21">
        <f t="shared" si="2"/>
        <v>0</v>
      </c>
      <c r="I20" s="21">
        <f t="shared" si="2"/>
        <v>0</v>
      </c>
      <c r="J20" s="21">
        <f t="shared" si="2"/>
        <v>0</v>
      </c>
      <c r="K20" s="22">
        <f t="shared" si="2"/>
        <v>0</v>
      </c>
      <c r="L20" s="21">
        <f>L$2</f>
        <v>1</v>
      </c>
      <c r="M20" s="21">
        <f t="shared" si="3"/>
        <v>1</v>
      </c>
      <c r="N20" s="21">
        <f t="shared" si="3"/>
        <v>1</v>
      </c>
      <c r="O20" s="21">
        <f t="shared" si="3"/>
        <v>1</v>
      </c>
      <c r="P20" s="21">
        <f t="shared" si="3"/>
        <v>1</v>
      </c>
      <c r="Q20" s="21">
        <f t="shared" si="3"/>
        <v>1</v>
      </c>
      <c r="R20" s="21">
        <f t="shared" si="3"/>
        <v>1</v>
      </c>
      <c r="S20" s="21">
        <f t="shared" si="3"/>
        <v>1</v>
      </c>
      <c r="T20" s="21">
        <f t="shared" si="3"/>
        <v>1</v>
      </c>
      <c r="U20" s="21">
        <f t="shared" si="3"/>
        <v>1</v>
      </c>
      <c r="V20" s="21">
        <f t="shared" si="3"/>
        <v>1</v>
      </c>
      <c r="W20" s="21">
        <f t="shared" si="3"/>
        <v>1</v>
      </c>
      <c r="X20" s="21">
        <f t="shared" si="3"/>
        <v>1</v>
      </c>
      <c r="Y20" s="21">
        <f t="shared" si="3"/>
        <v>1</v>
      </c>
      <c r="Z20" s="21">
        <f t="shared" si="3"/>
        <v>1</v>
      </c>
      <c r="AA20" s="21">
        <f t="shared" si="3"/>
        <v>1</v>
      </c>
      <c r="AB20" s="21">
        <f t="shared" si="3"/>
        <v>1</v>
      </c>
      <c r="AC20" s="21">
        <f t="shared" si="3"/>
        <v>1</v>
      </c>
      <c r="AD20" s="21">
        <f t="shared" si="3"/>
        <v>1</v>
      </c>
      <c r="AE20" s="21">
        <f t="shared" si="3"/>
        <v>1</v>
      </c>
      <c r="AF20" s="21">
        <f t="shared" si="3"/>
        <v>1</v>
      </c>
      <c r="AG20" s="21">
        <f t="shared" si="3"/>
        <v>1</v>
      </c>
      <c r="AH20" s="21">
        <f t="shared" si="3"/>
        <v>1</v>
      </c>
      <c r="AI20" s="21">
        <f t="shared" si="3"/>
        <v>1</v>
      </c>
      <c r="AJ20" s="21">
        <f t="shared" si="3"/>
        <v>1</v>
      </c>
      <c r="AK20" s="21">
        <f t="shared" si="3"/>
        <v>1</v>
      </c>
      <c r="AL20" s="21">
        <f t="shared" si="3"/>
        <v>1</v>
      </c>
      <c r="AM20" s="21">
        <f t="shared" si="3"/>
        <v>1</v>
      </c>
      <c r="AN20" s="21">
        <f t="shared" si="3"/>
        <v>1</v>
      </c>
      <c r="AO20" s="21">
        <f t="shared" si="3"/>
        <v>1</v>
      </c>
      <c r="AP20" s="21">
        <f t="shared" si="3"/>
        <v>0</v>
      </c>
    </row>
    <row r="21" spans="1:42" s="12" customFormat="1" x14ac:dyDescent="0.2">
      <c r="A21" s="18" t="s">
        <v>18</v>
      </c>
      <c r="B21" s="24"/>
      <c r="C21" s="240">
        <f>Calculator!$C54*1000</f>
        <v>12300</v>
      </c>
      <c r="D21" s="20"/>
      <c r="F21" s="32"/>
      <c r="G21" s="21">
        <f t="shared" si="2"/>
        <v>0</v>
      </c>
      <c r="H21" s="21">
        <f t="shared" si="2"/>
        <v>0</v>
      </c>
      <c r="I21" s="21">
        <f t="shared" si="2"/>
        <v>0</v>
      </c>
      <c r="J21" s="21">
        <f t="shared" si="2"/>
        <v>0</v>
      </c>
      <c r="K21" s="33">
        <f t="shared" si="2"/>
        <v>0</v>
      </c>
      <c r="L21" s="21">
        <f>L$2</f>
        <v>1</v>
      </c>
      <c r="M21" s="21">
        <f t="shared" si="3"/>
        <v>1</v>
      </c>
      <c r="N21" s="21">
        <f t="shared" si="3"/>
        <v>1</v>
      </c>
      <c r="O21" s="21">
        <f t="shared" si="3"/>
        <v>1</v>
      </c>
      <c r="P21" s="21">
        <f t="shared" si="3"/>
        <v>1</v>
      </c>
      <c r="Q21" s="21">
        <f t="shared" si="3"/>
        <v>1</v>
      </c>
      <c r="R21" s="21">
        <f t="shared" si="3"/>
        <v>1</v>
      </c>
      <c r="S21" s="21">
        <f t="shared" si="3"/>
        <v>1</v>
      </c>
      <c r="T21" s="21">
        <f t="shared" si="3"/>
        <v>1</v>
      </c>
      <c r="U21" s="21">
        <f t="shared" si="3"/>
        <v>1</v>
      </c>
      <c r="V21" s="21">
        <f t="shared" si="3"/>
        <v>1</v>
      </c>
      <c r="W21" s="21">
        <f t="shared" si="3"/>
        <v>1</v>
      </c>
      <c r="X21" s="21">
        <f t="shared" si="3"/>
        <v>1</v>
      </c>
      <c r="Y21" s="21">
        <f t="shared" si="3"/>
        <v>1</v>
      </c>
      <c r="Z21" s="21">
        <f t="shared" si="3"/>
        <v>1</v>
      </c>
      <c r="AA21" s="21">
        <f t="shared" si="3"/>
        <v>1</v>
      </c>
      <c r="AB21" s="21">
        <f t="shared" si="3"/>
        <v>1</v>
      </c>
      <c r="AC21" s="21">
        <f t="shared" si="3"/>
        <v>1</v>
      </c>
      <c r="AD21" s="21">
        <f t="shared" si="3"/>
        <v>1</v>
      </c>
      <c r="AE21" s="21">
        <f t="shared" si="3"/>
        <v>1</v>
      </c>
      <c r="AF21" s="21">
        <f t="shared" si="3"/>
        <v>1</v>
      </c>
      <c r="AG21" s="21">
        <f t="shared" si="3"/>
        <v>1</v>
      </c>
      <c r="AH21" s="21">
        <f t="shared" si="3"/>
        <v>1</v>
      </c>
      <c r="AI21" s="21">
        <f t="shared" si="3"/>
        <v>1</v>
      </c>
      <c r="AJ21" s="21">
        <f t="shared" si="3"/>
        <v>1</v>
      </c>
      <c r="AK21" s="21">
        <f t="shared" si="3"/>
        <v>1</v>
      </c>
      <c r="AL21" s="21">
        <f t="shared" si="3"/>
        <v>1</v>
      </c>
      <c r="AM21" s="21">
        <f t="shared" si="3"/>
        <v>1</v>
      </c>
      <c r="AN21" s="21">
        <f t="shared" si="3"/>
        <v>1</v>
      </c>
      <c r="AO21" s="21">
        <f t="shared" si="3"/>
        <v>1</v>
      </c>
      <c r="AP21" s="21">
        <f t="shared" si="3"/>
        <v>0</v>
      </c>
    </row>
    <row r="22" spans="1:42" s="28" customFormat="1" x14ac:dyDescent="0.2">
      <c r="A22" s="26" t="s">
        <v>146</v>
      </c>
      <c r="B22" s="242">
        <f>C22*Calculator!$C$72</f>
        <v>27100000</v>
      </c>
      <c r="C22" s="242">
        <f>SUM(C19:C21)</f>
        <v>27100</v>
      </c>
      <c r="D22" s="27"/>
      <c r="F22" s="34"/>
      <c r="G22" s="243">
        <f>(SUMPRODUCT($C19:$C19,G19:G19)+SUMPRODUCT($C$20:$C$21,G20:G21))*Calculator!$C$72</f>
        <v>0</v>
      </c>
      <c r="H22" s="243">
        <f>(SUMPRODUCT($C19:$C19,H19:H19)+SUMPRODUCT($C$20:$C$21,H20:H21))*Calculator!$C$72</f>
        <v>0</v>
      </c>
      <c r="I22" s="243">
        <f>(SUMPRODUCT($C19:$C19,I19:I19)+SUMPRODUCT($C$20:$C$21,I20:I21))*Calculator!$C$72</f>
        <v>0</v>
      </c>
      <c r="J22" s="243">
        <f>(SUMPRODUCT($C19:$C19,J19:J19)+SUMPRODUCT($C$20:$C$21,J20:J21))*Calculator!$C$72</f>
        <v>0</v>
      </c>
      <c r="K22" s="243">
        <f>(SUMPRODUCT($C19:$C19,K19:K19)+SUMPRODUCT($C$20:$C$21,K20:K21))*Calculator!$C$72</f>
        <v>0</v>
      </c>
      <c r="L22" s="243">
        <f>(SUMPRODUCT($C19:$C19,L19:L19)+SUMPRODUCT($C$20:$C$21,L20:L21))*Calculator!$C$72</f>
        <v>27100000</v>
      </c>
      <c r="M22" s="243">
        <f>(SUMPRODUCT($C19:$C19,M19:M19)+SUMPRODUCT($C$20:$C$21,M20:M21))*Calculator!$C$72</f>
        <v>27100000</v>
      </c>
      <c r="N22" s="243">
        <f>(SUMPRODUCT($C19:$C19,N19:N19)+SUMPRODUCT($C$20:$C$21,N20:N21))*Calculator!$C$72</f>
        <v>27100000</v>
      </c>
      <c r="O22" s="243">
        <f>(SUMPRODUCT($C19:$C19,O19:O19)+SUMPRODUCT($C$20:$C$21,O20:O21))*Calculator!$C$72</f>
        <v>27100000</v>
      </c>
      <c r="P22" s="243">
        <f>(SUMPRODUCT($C19:$C19,P19:P19)+SUMPRODUCT($C$20:$C$21,P20:P21))*Calculator!$C$72</f>
        <v>27100000</v>
      </c>
      <c r="Q22" s="243">
        <f>(SUMPRODUCT($C19:$C19,Q19:Q19)+SUMPRODUCT($C$20:$C$21,Q20:Q21))*Calculator!$C$72</f>
        <v>27100000</v>
      </c>
      <c r="R22" s="243">
        <f>(SUMPRODUCT($C19:$C19,R19:R19)+SUMPRODUCT($C$20:$C$21,R20:R21))*Calculator!$C$72</f>
        <v>27100000</v>
      </c>
      <c r="S22" s="243">
        <f>(SUMPRODUCT($C19:$C19,S19:S19)+SUMPRODUCT($C$20:$C$21,S20:S21))*Calculator!$C$72</f>
        <v>27100000</v>
      </c>
      <c r="T22" s="243">
        <f>(SUMPRODUCT($C19:$C19,T19:T19)+SUMPRODUCT($C$20:$C$21,T20:T21))*Calculator!$C$72</f>
        <v>27100000</v>
      </c>
      <c r="U22" s="243">
        <f>(SUMPRODUCT($C19:$C19,U19:U19)+SUMPRODUCT($C$20:$C$21,U20:U21))*Calculator!$C$72</f>
        <v>27100000</v>
      </c>
      <c r="V22" s="243">
        <f>(SUMPRODUCT($C19:$C19,V19:V19)+SUMPRODUCT($C$20:$C$21,V20:V21))*Calculator!$C$72</f>
        <v>27100000</v>
      </c>
      <c r="W22" s="243">
        <f>(SUMPRODUCT($C19:$C19,W19:W19)+SUMPRODUCT($C$20:$C$21,W20:W21))*Calculator!$C$72</f>
        <v>27100000</v>
      </c>
      <c r="X22" s="243">
        <f>(SUMPRODUCT($C19:$C19,X19:X19)+SUMPRODUCT($C$20:$C$21,X20:X21))*Calculator!$C$72</f>
        <v>27100000</v>
      </c>
      <c r="Y22" s="243">
        <f>(SUMPRODUCT($C19:$C19,Y19:Y19)+SUMPRODUCT($C$20:$C$21,Y20:Y21))*Calculator!$C$72</f>
        <v>27100000</v>
      </c>
      <c r="Z22" s="243">
        <f>(SUMPRODUCT($C19:$C19,Z19:Z19)+SUMPRODUCT($C$20:$C$21,Z20:Z21))*Calculator!$C$72</f>
        <v>27100000</v>
      </c>
      <c r="AA22" s="243">
        <f>(SUMPRODUCT($C19:$C19,AA19:AA19)+SUMPRODUCT($C$20:$C$21,AA20:AA21))*Calculator!$C$72</f>
        <v>27100000</v>
      </c>
      <c r="AB22" s="243">
        <f>(SUMPRODUCT($C19:$C19,AB19:AB19)+SUMPRODUCT($C$20:$C$21,AB20:AB21))*Calculator!$C$72</f>
        <v>27100000</v>
      </c>
      <c r="AC22" s="243">
        <f>(SUMPRODUCT($C19:$C19,AC19:AC19)+SUMPRODUCT($C$20:$C$21,AC20:AC21))*Calculator!$C$72</f>
        <v>27100000</v>
      </c>
      <c r="AD22" s="243">
        <f>(SUMPRODUCT($C19:$C19,AD19:AD19)+SUMPRODUCT($C$20:$C$21,AD20:AD21))*Calculator!$C$72</f>
        <v>27100000</v>
      </c>
      <c r="AE22" s="243">
        <f>(SUMPRODUCT($C19:$C19,AE19:AE19)+SUMPRODUCT($C$20:$C$21,AE20:AE21))*Calculator!$C$72</f>
        <v>27100000</v>
      </c>
      <c r="AF22" s="243">
        <f>(SUMPRODUCT($C19:$C19,AF19:AF19)+SUMPRODUCT($C$20:$C$21,AF20:AF21))*Calculator!$C$72</f>
        <v>27100000</v>
      </c>
      <c r="AG22" s="243">
        <f>(SUMPRODUCT($C19:$C19,AG19:AG19)+SUMPRODUCT($C$20:$C$21,AG20:AG21))*Calculator!$C$72</f>
        <v>27100000</v>
      </c>
      <c r="AH22" s="243">
        <f>(SUMPRODUCT($C19:$C19,AH19:AH19)+SUMPRODUCT($C$20:$C$21,AH20:AH21))*Calculator!$C$72</f>
        <v>27100000</v>
      </c>
      <c r="AI22" s="243">
        <f>(SUMPRODUCT($C19:$C19,AI19:AI19)+SUMPRODUCT($C$20:$C$21,AI20:AI21))*Calculator!$C$72</f>
        <v>27100000</v>
      </c>
      <c r="AJ22" s="243">
        <f>(SUMPRODUCT($C19:$C19,AJ19:AJ19)+SUMPRODUCT($C$20:$C$21,AJ20:AJ21))*Calculator!$C$72</f>
        <v>27100000</v>
      </c>
      <c r="AK22" s="243">
        <f>(SUMPRODUCT($C19:$C19,AK19:AK19)+SUMPRODUCT($C$20:$C$21,AK20:AK21))*Calculator!$C$72</f>
        <v>27100000</v>
      </c>
      <c r="AL22" s="243">
        <f>(SUMPRODUCT($C19:$C19,AL19:AL19)+SUMPRODUCT($C$20:$C$21,AL20:AL21))*Calculator!$C$72</f>
        <v>27100000</v>
      </c>
      <c r="AM22" s="243">
        <f>(SUMPRODUCT($C19:$C19,AM19:AM19)+SUMPRODUCT($C$20:$C$21,AM20:AM21))*Calculator!$C$72</f>
        <v>27100000</v>
      </c>
      <c r="AN22" s="243">
        <f>(SUMPRODUCT($C19:$C19,AN19:AN19)+SUMPRODUCT($C$20:$C$21,AN20:AN21))*Calculator!$C$72</f>
        <v>27100000</v>
      </c>
      <c r="AO22" s="243">
        <f>(SUMPRODUCT($C19:$C19,AO19:AO19)+SUMPRODUCT($C$20:$C$21,AO20:AO21))*Calculator!$C$72</f>
        <v>27100000</v>
      </c>
      <c r="AP22" s="243">
        <f>(SUMPRODUCT($C19:$C19,AP19:AP19)+SUMPRODUCT($C$20:$C$21,AP20:AP21))*Calculator!$C$72</f>
        <v>0</v>
      </c>
    </row>
    <row r="23" spans="1:42" s="12" customFormat="1" x14ac:dyDescent="0.2">
      <c r="A23" s="14"/>
      <c r="B23" s="35"/>
      <c r="C23" s="35"/>
      <c r="D23" s="36"/>
      <c r="F23" s="11"/>
      <c r="K23" s="13"/>
    </row>
    <row r="24" spans="1:42" s="12" customFormat="1" x14ac:dyDescent="0.2">
      <c r="A24" s="10" t="s">
        <v>23</v>
      </c>
      <c r="B24" s="35"/>
      <c r="C24" s="35"/>
      <c r="D24" s="36"/>
      <c r="F24" s="11"/>
      <c r="K24" s="13"/>
    </row>
    <row r="25" spans="1:42" s="12" customFormat="1" x14ac:dyDescent="0.2">
      <c r="A25" s="14" t="s">
        <v>24</v>
      </c>
      <c r="B25" s="35"/>
      <c r="C25" s="35"/>
      <c r="D25" s="36"/>
      <c r="F25" s="11"/>
      <c r="K25" s="13"/>
      <c r="T25" s="21"/>
      <c r="U25" s="21"/>
      <c r="V25" s="21"/>
      <c r="W25" s="21"/>
      <c r="X25" s="21"/>
      <c r="Y25" s="21"/>
      <c r="Z25" s="21"/>
      <c r="AA25" s="21"/>
      <c r="AB25" s="21"/>
      <c r="AC25" s="21"/>
      <c r="AD25" s="21"/>
      <c r="AE25" s="21">
        <f>AE3</f>
        <v>0</v>
      </c>
      <c r="AF25" s="21">
        <f>AF3</f>
        <v>0</v>
      </c>
      <c r="AG25" s="21">
        <f t="shared" ref="AG25:AP25" si="4">AG3</f>
        <v>0</v>
      </c>
      <c r="AH25" s="21">
        <f t="shared" si="4"/>
        <v>0</v>
      </c>
      <c r="AI25" s="21">
        <f t="shared" si="4"/>
        <v>0</v>
      </c>
      <c r="AJ25" s="21">
        <f t="shared" si="4"/>
        <v>0</v>
      </c>
      <c r="AK25" s="21">
        <f t="shared" si="4"/>
        <v>0</v>
      </c>
      <c r="AL25" s="21">
        <f t="shared" si="4"/>
        <v>0</v>
      </c>
      <c r="AM25" s="21">
        <f t="shared" si="4"/>
        <v>0</v>
      </c>
      <c r="AN25" s="21">
        <f t="shared" si="4"/>
        <v>0</v>
      </c>
      <c r="AO25" s="21">
        <f t="shared" si="4"/>
        <v>0</v>
      </c>
      <c r="AP25" s="21">
        <f t="shared" si="4"/>
        <v>1</v>
      </c>
    </row>
    <row r="26" spans="1:42" s="28" customFormat="1" x14ac:dyDescent="0.2">
      <c r="A26" s="26" t="s">
        <v>147</v>
      </c>
      <c r="B26" s="242">
        <f>C26*Calculator!$C$72</f>
        <v>156500000</v>
      </c>
      <c r="C26" s="241">
        <f>Calculator!$C$69*1000</f>
        <v>156500</v>
      </c>
      <c r="D26" s="27"/>
      <c r="F26" s="29"/>
      <c r="G26" s="243">
        <f>$B26*G$25</f>
        <v>0</v>
      </c>
      <c r="H26" s="243">
        <f>$B26*H$25</f>
        <v>0</v>
      </c>
      <c r="I26" s="243">
        <f t="shared" ref="I26:AE26" si="5">$B26*I$25</f>
        <v>0</v>
      </c>
      <c r="J26" s="243">
        <f t="shared" si="5"/>
        <v>0</v>
      </c>
      <c r="K26" s="244">
        <f t="shared" si="5"/>
        <v>0</v>
      </c>
      <c r="L26" s="243">
        <f t="shared" si="5"/>
        <v>0</v>
      </c>
      <c r="M26" s="243">
        <f t="shared" si="5"/>
        <v>0</v>
      </c>
      <c r="N26" s="243">
        <f t="shared" si="5"/>
        <v>0</v>
      </c>
      <c r="O26" s="243">
        <f t="shared" si="5"/>
        <v>0</v>
      </c>
      <c r="P26" s="243">
        <f t="shared" si="5"/>
        <v>0</v>
      </c>
      <c r="Q26" s="243">
        <f t="shared" si="5"/>
        <v>0</v>
      </c>
      <c r="R26" s="243">
        <f t="shared" si="5"/>
        <v>0</v>
      </c>
      <c r="S26" s="243">
        <f t="shared" si="5"/>
        <v>0</v>
      </c>
      <c r="T26" s="243">
        <f t="shared" si="5"/>
        <v>0</v>
      </c>
      <c r="U26" s="243">
        <f t="shared" si="5"/>
        <v>0</v>
      </c>
      <c r="V26" s="243">
        <f t="shared" si="5"/>
        <v>0</v>
      </c>
      <c r="W26" s="243">
        <f t="shared" si="5"/>
        <v>0</v>
      </c>
      <c r="X26" s="243">
        <f t="shared" si="5"/>
        <v>0</v>
      </c>
      <c r="Y26" s="243">
        <f t="shared" si="5"/>
        <v>0</v>
      </c>
      <c r="Z26" s="243">
        <f t="shared" si="5"/>
        <v>0</v>
      </c>
      <c r="AA26" s="243">
        <f t="shared" si="5"/>
        <v>0</v>
      </c>
      <c r="AB26" s="243">
        <f t="shared" si="5"/>
        <v>0</v>
      </c>
      <c r="AC26" s="243">
        <f t="shared" si="5"/>
        <v>0</v>
      </c>
      <c r="AD26" s="243">
        <f t="shared" si="5"/>
        <v>0</v>
      </c>
      <c r="AE26" s="243">
        <f t="shared" si="5"/>
        <v>0</v>
      </c>
      <c r="AF26" s="243">
        <f>$B26*AF$25</f>
        <v>0</v>
      </c>
      <c r="AG26" s="243">
        <f t="shared" ref="AG26:AP26" si="6">$B26*AG$25</f>
        <v>0</v>
      </c>
      <c r="AH26" s="243">
        <f t="shared" si="6"/>
        <v>0</v>
      </c>
      <c r="AI26" s="243">
        <f t="shared" si="6"/>
        <v>0</v>
      </c>
      <c r="AJ26" s="243">
        <f t="shared" si="6"/>
        <v>0</v>
      </c>
      <c r="AK26" s="243">
        <f t="shared" si="6"/>
        <v>0</v>
      </c>
      <c r="AL26" s="243">
        <f t="shared" si="6"/>
        <v>0</v>
      </c>
      <c r="AM26" s="243">
        <f t="shared" si="6"/>
        <v>0</v>
      </c>
      <c r="AN26" s="243">
        <f t="shared" si="6"/>
        <v>0</v>
      </c>
      <c r="AO26" s="243">
        <f t="shared" si="6"/>
        <v>0</v>
      </c>
      <c r="AP26" s="243">
        <f t="shared" si="6"/>
        <v>156500000</v>
      </c>
    </row>
    <row r="27" spans="1:42" s="12" customFormat="1" x14ac:dyDescent="0.2">
      <c r="A27" s="14"/>
      <c r="B27" s="24"/>
      <c r="C27" s="24"/>
      <c r="D27" s="25"/>
      <c r="F27" s="11"/>
      <c r="K27" s="13"/>
      <c r="AF27" s="21"/>
    </row>
    <row r="28" spans="1:42" s="12" customFormat="1" x14ac:dyDescent="0.2">
      <c r="A28" s="10" t="s">
        <v>22</v>
      </c>
      <c r="B28" s="24"/>
      <c r="C28" s="24"/>
      <c r="D28" s="25"/>
      <c r="F28" s="11"/>
      <c r="K28" s="13"/>
      <c r="AF28" s="21"/>
    </row>
    <row r="29" spans="1:42" s="12" customFormat="1" x14ac:dyDescent="0.2">
      <c r="A29" s="39" t="s">
        <v>4</v>
      </c>
      <c r="C29" s="65">
        <f>Calculator!$C65</f>
        <v>4014.3716202939231</v>
      </c>
      <c r="F29" s="11"/>
      <c r="G29" s="37">
        <f>$C29</f>
        <v>4014.3716202939231</v>
      </c>
      <c r="H29" s="37">
        <f t="shared" ref="H29:AP29" si="7">$C29</f>
        <v>4014.3716202939231</v>
      </c>
      <c r="I29" s="37">
        <f t="shared" si="7"/>
        <v>4014.3716202939231</v>
      </c>
      <c r="J29" s="37">
        <f t="shared" si="7"/>
        <v>4014.3716202939231</v>
      </c>
      <c r="K29" s="38">
        <f t="shared" si="7"/>
        <v>4014.3716202939231</v>
      </c>
      <c r="L29" s="37">
        <f t="shared" si="7"/>
        <v>4014.3716202939231</v>
      </c>
      <c r="M29" s="37">
        <f t="shared" si="7"/>
        <v>4014.3716202939231</v>
      </c>
      <c r="N29" s="37">
        <f t="shared" si="7"/>
        <v>4014.3716202939231</v>
      </c>
      <c r="O29" s="37">
        <f t="shared" si="7"/>
        <v>4014.3716202939231</v>
      </c>
      <c r="P29" s="37">
        <f t="shared" si="7"/>
        <v>4014.3716202939231</v>
      </c>
      <c r="Q29" s="37">
        <f t="shared" si="7"/>
        <v>4014.3716202939231</v>
      </c>
      <c r="R29" s="37">
        <f t="shared" si="7"/>
        <v>4014.3716202939231</v>
      </c>
      <c r="S29" s="37">
        <f t="shared" si="7"/>
        <v>4014.3716202939231</v>
      </c>
      <c r="T29" s="37">
        <f t="shared" si="7"/>
        <v>4014.3716202939231</v>
      </c>
      <c r="U29" s="37">
        <f t="shared" si="7"/>
        <v>4014.3716202939231</v>
      </c>
      <c r="V29" s="37">
        <f t="shared" si="7"/>
        <v>4014.3716202939231</v>
      </c>
      <c r="W29" s="37">
        <f t="shared" si="7"/>
        <v>4014.3716202939231</v>
      </c>
      <c r="X29" s="37">
        <f t="shared" si="7"/>
        <v>4014.3716202939231</v>
      </c>
      <c r="Y29" s="37">
        <f t="shared" si="7"/>
        <v>4014.3716202939231</v>
      </c>
      <c r="Z29" s="37">
        <f t="shared" si="7"/>
        <v>4014.3716202939231</v>
      </c>
      <c r="AA29" s="37">
        <f t="shared" si="7"/>
        <v>4014.3716202939231</v>
      </c>
      <c r="AB29" s="37">
        <f t="shared" si="7"/>
        <v>4014.3716202939231</v>
      </c>
      <c r="AC29" s="37">
        <f t="shared" si="7"/>
        <v>4014.3716202939231</v>
      </c>
      <c r="AD29" s="37">
        <f t="shared" si="7"/>
        <v>4014.3716202939231</v>
      </c>
      <c r="AE29" s="37">
        <f t="shared" si="7"/>
        <v>4014.3716202939231</v>
      </c>
      <c r="AF29" s="37">
        <f t="shared" si="7"/>
        <v>4014.3716202939231</v>
      </c>
      <c r="AG29" s="37">
        <f t="shared" si="7"/>
        <v>4014.3716202939231</v>
      </c>
      <c r="AH29" s="37">
        <f t="shared" si="7"/>
        <v>4014.3716202939231</v>
      </c>
      <c r="AI29" s="37">
        <f t="shared" si="7"/>
        <v>4014.3716202939231</v>
      </c>
      <c r="AJ29" s="37">
        <f t="shared" si="7"/>
        <v>4014.3716202939231</v>
      </c>
      <c r="AK29" s="37">
        <f t="shared" si="7"/>
        <v>4014.3716202939231</v>
      </c>
      <c r="AL29" s="37">
        <f t="shared" si="7"/>
        <v>4014.3716202939231</v>
      </c>
      <c r="AM29" s="37">
        <f t="shared" si="7"/>
        <v>4014.3716202939231</v>
      </c>
      <c r="AN29" s="37">
        <f t="shared" si="7"/>
        <v>4014.3716202939231</v>
      </c>
      <c r="AO29" s="37">
        <f t="shared" si="7"/>
        <v>4014.3716202939231</v>
      </c>
      <c r="AP29" s="37">
        <f t="shared" si="7"/>
        <v>4014.3716202939231</v>
      </c>
    </row>
    <row r="30" spans="1:42" s="12" customFormat="1" x14ac:dyDescent="0.2">
      <c r="A30" s="40" t="s">
        <v>19</v>
      </c>
      <c r="C30" s="41"/>
      <c r="F30" s="11"/>
      <c r="G30" s="42">
        <f>G2</f>
        <v>0</v>
      </c>
      <c r="H30" s="42">
        <f>H2</f>
        <v>0</v>
      </c>
      <c r="I30" s="42">
        <f t="shared" ref="I30:AP30" si="8">I2</f>
        <v>0</v>
      </c>
      <c r="J30" s="42">
        <f t="shared" si="8"/>
        <v>0</v>
      </c>
      <c r="K30" s="43">
        <f t="shared" si="8"/>
        <v>0</v>
      </c>
      <c r="L30" s="42">
        <f t="shared" si="8"/>
        <v>1</v>
      </c>
      <c r="M30" s="42">
        <f t="shared" si="8"/>
        <v>1</v>
      </c>
      <c r="N30" s="42">
        <f t="shared" si="8"/>
        <v>1</v>
      </c>
      <c r="O30" s="42">
        <f t="shared" si="8"/>
        <v>1</v>
      </c>
      <c r="P30" s="42">
        <f t="shared" si="8"/>
        <v>1</v>
      </c>
      <c r="Q30" s="42">
        <f t="shared" si="8"/>
        <v>1</v>
      </c>
      <c r="R30" s="42">
        <f t="shared" si="8"/>
        <v>1</v>
      </c>
      <c r="S30" s="42">
        <f t="shared" si="8"/>
        <v>1</v>
      </c>
      <c r="T30" s="42">
        <f t="shared" si="8"/>
        <v>1</v>
      </c>
      <c r="U30" s="42">
        <f t="shared" si="8"/>
        <v>1</v>
      </c>
      <c r="V30" s="42">
        <f t="shared" si="8"/>
        <v>1</v>
      </c>
      <c r="W30" s="42">
        <f t="shared" si="8"/>
        <v>1</v>
      </c>
      <c r="X30" s="42">
        <f t="shared" si="8"/>
        <v>1</v>
      </c>
      <c r="Y30" s="42">
        <f t="shared" si="8"/>
        <v>1</v>
      </c>
      <c r="Z30" s="42">
        <f t="shared" si="8"/>
        <v>1</v>
      </c>
      <c r="AA30" s="42">
        <f t="shared" si="8"/>
        <v>1</v>
      </c>
      <c r="AB30" s="42">
        <f t="shared" si="8"/>
        <v>1</v>
      </c>
      <c r="AC30" s="42">
        <f t="shared" si="8"/>
        <v>1</v>
      </c>
      <c r="AD30" s="42">
        <f t="shared" si="8"/>
        <v>1</v>
      </c>
      <c r="AE30" s="42">
        <f t="shared" si="8"/>
        <v>1</v>
      </c>
      <c r="AF30" s="42">
        <f t="shared" si="8"/>
        <v>1</v>
      </c>
      <c r="AG30" s="42">
        <f t="shared" si="8"/>
        <v>1</v>
      </c>
      <c r="AH30" s="42">
        <f t="shared" si="8"/>
        <v>1</v>
      </c>
      <c r="AI30" s="42">
        <f t="shared" si="8"/>
        <v>1</v>
      </c>
      <c r="AJ30" s="42">
        <f t="shared" si="8"/>
        <v>1</v>
      </c>
      <c r="AK30" s="42">
        <f t="shared" si="8"/>
        <v>1</v>
      </c>
      <c r="AL30" s="42">
        <f t="shared" si="8"/>
        <v>1</v>
      </c>
      <c r="AM30" s="42">
        <f t="shared" si="8"/>
        <v>1</v>
      </c>
      <c r="AN30" s="42">
        <f t="shared" si="8"/>
        <v>1</v>
      </c>
      <c r="AO30" s="42">
        <f t="shared" si="8"/>
        <v>1</v>
      </c>
      <c r="AP30" s="42">
        <f t="shared" si="8"/>
        <v>0</v>
      </c>
    </row>
    <row r="31" spans="1:42" s="12" customFormat="1" x14ac:dyDescent="0.2">
      <c r="A31" s="10" t="s">
        <v>3</v>
      </c>
      <c r="B31" s="44">
        <f>SUM(G31:AF31)</f>
        <v>84301804.026172414</v>
      </c>
      <c r="C31" s="44"/>
      <c r="D31" s="45"/>
      <c r="F31" s="11"/>
      <c r="G31" s="46">
        <f>G29*G30*Calculator!$C$72</f>
        <v>0</v>
      </c>
      <c r="H31" s="46">
        <f>H29*H30*Calculator!$C$72</f>
        <v>0</v>
      </c>
      <c r="I31" s="46">
        <f>I29*I30*Calculator!$C$72</f>
        <v>0</v>
      </c>
      <c r="J31" s="46">
        <f>J29*J30*Calculator!$C$72</f>
        <v>0</v>
      </c>
      <c r="K31" s="47">
        <f>K29*K30*Calculator!$C$72</f>
        <v>0</v>
      </c>
      <c r="L31" s="46">
        <f>L29*L30*Calculator!$C$72</f>
        <v>4014371.6202939232</v>
      </c>
      <c r="M31" s="46">
        <f>M29*M30*Calculator!$C$72</f>
        <v>4014371.6202939232</v>
      </c>
      <c r="N31" s="46">
        <f>N29*N30*Calculator!$C$72</f>
        <v>4014371.6202939232</v>
      </c>
      <c r="O31" s="46">
        <f>O29*O30*Calculator!$C$72</f>
        <v>4014371.6202939232</v>
      </c>
      <c r="P31" s="46">
        <f>P29*P30*Calculator!$C$72</f>
        <v>4014371.6202939232</v>
      </c>
      <c r="Q31" s="46">
        <f>Q29*Q30*Calculator!$C$72</f>
        <v>4014371.6202939232</v>
      </c>
      <c r="R31" s="46">
        <f>R29*R30*Calculator!$C$72</f>
        <v>4014371.6202939232</v>
      </c>
      <c r="S31" s="46">
        <f>S29*S30*Calculator!$C$72</f>
        <v>4014371.6202939232</v>
      </c>
      <c r="T31" s="46">
        <f>T29*T30*Calculator!$C$72</f>
        <v>4014371.6202939232</v>
      </c>
      <c r="U31" s="46">
        <f>U29*U30*Calculator!$C$72</f>
        <v>4014371.6202939232</v>
      </c>
      <c r="V31" s="46">
        <f>V29*V30*Calculator!$C$72</f>
        <v>4014371.6202939232</v>
      </c>
      <c r="W31" s="46">
        <f>W29*W30*Calculator!$C$72</f>
        <v>4014371.6202939232</v>
      </c>
      <c r="X31" s="46">
        <f>X29*X30*Calculator!$C$72</f>
        <v>4014371.6202939232</v>
      </c>
      <c r="Y31" s="46">
        <f>Y29*Y30*Calculator!$C$72</f>
        <v>4014371.6202939232</v>
      </c>
      <c r="Z31" s="46">
        <f>Z29*Z30*Calculator!$C$72</f>
        <v>4014371.6202939232</v>
      </c>
      <c r="AA31" s="46">
        <f>AA29*AA30*Calculator!$C$72</f>
        <v>4014371.6202939232</v>
      </c>
      <c r="AB31" s="46">
        <f>AB29*AB30*Calculator!$C$72</f>
        <v>4014371.6202939232</v>
      </c>
      <c r="AC31" s="46">
        <f>AC29*AC30*Calculator!$C$72</f>
        <v>4014371.6202939232</v>
      </c>
      <c r="AD31" s="46">
        <f>AD29*AD30*Calculator!$C$72</f>
        <v>4014371.6202939232</v>
      </c>
      <c r="AE31" s="46">
        <f>AE29*AE30*Calculator!$C$72</f>
        <v>4014371.6202939232</v>
      </c>
      <c r="AF31" s="46">
        <f>AF29*AF30*Calculator!$C$72</f>
        <v>4014371.6202939232</v>
      </c>
      <c r="AG31" s="46">
        <f>AG29*AG30*Calculator!$C$72</f>
        <v>4014371.6202939232</v>
      </c>
      <c r="AH31" s="46">
        <f>AH29*AH30*Calculator!$C$72</f>
        <v>4014371.6202939232</v>
      </c>
      <c r="AI31" s="46">
        <f>AI29*AI30*Calculator!$C$72</f>
        <v>4014371.6202939232</v>
      </c>
      <c r="AJ31" s="46">
        <f>AJ29*AJ30*Calculator!$C$72</f>
        <v>4014371.6202939232</v>
      </c>
      <c r="AK31" s="46">
        <f>AK29*AK30*Calculator!$C$72</f>
        <v>4014371.6202939232</v>
      </c>
      <c r="AL31" s="46">
        <f>AL29*AL30*Calculator!$C$72</f>
        <v>4014371.6202939232</v>
      </c>
      <c r="AM31" s="46">
        <f>AM29*AM30*Calculator!$C$72</f>
        <v>4014371.6202939232</v>
      </c>
      <c r="AN31" s="46">
        <f>AN29*AN30*Calculator!$C$72</f>
        <v>4014371.6202939232</v>
      </c>
      <c r="AO31" s="46">
        <f>AO29*AO30*Calculator!$C$72</f>
        <v>4014371.6202939232</v>
      </c>
      <c r="AP31" s="46">
        <f>AP29*AP30*Calculator!$C$72</f>
        <v>0</v>
      </c>
    </row>
    <row r="32" spans="1:42" s="12" customFormat="1" x14ac:dyDescent="0.2">
      <c r="A32" s="48"/>
      <c r="D32" s="16"/>
      <c r="F32" s="11"/>
      <c r="K32" s="13"/>
    </row>
    <row r="33" spans="1:42" s="12" customFormat="1" ht="25.5" x14ac:dyDescent="0.2">
      <c r="A33" s="10" t="s">
        <v>5</v>
      </c>
      <c r="B33" s="68">
        <f>Calculator!$C$74</f>
        <v>5.5E-2</v>
      </c>
      <c r="D33" s="16"/>
      <c r="F33" s="11" t="s">
        <v>6</v>
      </c>
      <c r="G33" s="49">
        <v>1</v>
      </c>
      <c r="H33" s="49">
        <f>1/(1+$B$33)^(H1+3.5)</f>
        <v>0.97358476702247099</v>
      </c>
      <c r="I33" s="49">
        <f t="shared" ref="I33:AP33" si="9">1/(1+$B$33)^(I1+3.5)</f>
        <v>0.92282916305447504</v>
      </c>
      <c r="J33" s="49">
        <f t="shared" si="9"/>
        <v>0.87471958583362563</v>
      </c>
      <c r="K33" s="50">
        <f t="shared" si="9"/>
        <v>0.82911809083755983</v>
      </c>
      <c r="L33" s="49">
        <f t="shared" si="9"/>
        <v>0.78589392496451171</v>
      </c>
      <c r="M33" s="49">
        <f t="shared" si="9"/>
        <v>0.74492315162512968</v>
      </c>
      <c r="N33" s="49">
        <f t="shared" si="9"/>
        <v>0.70608829537926976</v>
      </c>
      <c r="O33" s="49">
        <f t="shared" si="9"/>
        <v>0.66927800509883406</v>
      </c>
      <c r="P33" s="49">
        <f t="shared" si="9"/>
        <v>0.63438673469083795</v>
      </c>
      <c r="Q33" s="49">
        <f t="shared" si="9"/>
        <v>0.60131444046524929</v>
      </c>
      <c r="R33" s="49">
        <f t="shared" si="9"/>
        <v>0.56996629427985712</v>
      </c>
      <c r="S33" s="49">
        <f t="shared" si="9"/>
        <v>0.54025241163967508</v>
      </c>
      <c r="T33" s="49">
        <f t="shared" si="9"/>
        <v>0.51208759397125603</v>
      </c>
      <c r="U33" s="49">
        <f t="shared" si="9"/>
        <v>0.4853910843329442</v>
      </c>
      <c r="V33" s="49">
        <f t="shared" si="9"/>
        <v>0.4600863358606106</v>
      </c>
      <c r="W33" s="49">
        <f t="shared" si="9"/>
        <v>0.43610079228493898</v>
      </c>
      <c r="X33" s="49">
        <f t="shared" si="9"/>
        <v>0.41336567989093748</v>
      </c>
      <c r="Y33" s="49">
        <f t="shared" si="9"/>
        <v>0.39181581032316348</v>
      </c>
      <c r="Z33" s="49">
        <f t="shared" si="9"/>
        <v>0.37138939367124502</v>
      </c>
      <c r="AA33" s="49">
        <f t="shared" si="9"/>
        <v>0.35202786129975833</v>
      </c>
      <c r="AB33" s="49">
        <f t="shared" si="9"/>
        <v>0.33367569791446289</v>
      </c>
      <c r="AC33" s="49">
        <f t="shared" si="9"/>
        <v>0.31628028238337719</v>
      </c>
      <c r="AD33" s="49">
        <f t="shared" si="9"/>
        <v>0.29979173685628169</v>
      </c>
      <c r="AE33" s="49">
        <f t="shared" si="9"/>
        <v>0.28416278375003007</v>
      </c>
      <c r="AF33" s="49">
        <f t="shared" si="9"/>
        <v>0.26934861018960199</v>
      </c>
      <c r="AG33" s="49">
        <f t="shared" si="9"/>
        <v>0.25530673951621041</v>
      </c>
      <c r="AH33" s="49">
        <f t="shared" si="9"/>
        <v>0.24199690949403835</v>
      </c>
      <c r="AI33" s="49">
        <f t="shared" si="9"/>
        <v>0.22938095686638699</v>
      </c>
      <c r="AJ33" s="49">
        <f t="shared" si="9"/>
        <v>0.2174227079302247</v>
      </c>
      <c r="AK33" s="49">
        <f t="shared" si="9"/>
        <v>0.20608787481537888</v>
      </c>
      <c r="AL33" s="49">
        <f t="shared" si="9"/>
        <v>0.19534395717097525</v>
      </c>
      <c r="AM33" s="49">
        <f t="shared" si="9"/>
        <v>0.18516014897722774</v>
      </c>
      <c r="AN33" s="49">
        <f t="shared" si="9"/>
        <v>0.17550725021538174</v>
      </c>
      <c r="AO33" s="49">
        <f t="shared" si="9"/>
        <v>0.16635758314254195</v>
      </c>
      <c r="AP33" s="49">
        <f t="shared" si="9"/>
        <v>0.15768491293131937</v>
      </c>
    </row>
    <row r="34" spans="1:42" s="12" customFormat="1" x14ac:dyDescent="0.2">
      <c r="A34" s="14"/>
      <c r="B34" s="15">
        <f>Calculator!G74</f>
        <v>5.5E-2</v>
      </c>
      <c r="C34" s="16"/>
      <c r="D34" s="16"/>
      <c r="F34" s="11"/>
      <c r="H34" s="12">
        <f>1/(1+$B$34)^(H1+3.5)</f>
        <v>0.97358476702247099</v>
      </c>
      <c r="I34" s="12">
        <f>1/(1+$B$34)^(I1+3.5)</f>
        <v>0.92282916305447504</v>
      </c>
      <c r="J34" s="12">
        <f>1/(1+$B$34)^(J1+3.5)</f>
        <v>0.87471958583362563</v>
      </c>
      <c r="K34" s="13">
        <f>1/(1+$B$34)^(K1+3.5)</f>
        <v>0.82911809083755983</v>
      </c>
    </row>
    <row r="35" spans="1:42" s="53" customFormat="1" x14ac:dyDescent="0.2">
      <c r="A35" s="51" t="s">
        <v>7</v>
      </c>
      <c r="B35" s="52"/>
      <c r="F35" s="52"/>
      <c r="G35" s="8"/>
      <c r="H35" s="8"/>
      <c r="I35" s="8"/>
      <c r="K35" s="9"/>
    </row>
    <row r="36" spans="1:42" x14ac:dyDescent="0.2">
      <c r="A36" s="54" t="s">
        <v>8</v>
      </c>
      <c r="B36" s="55">
        <f>SUM(G36:AP36)</f>
        <v>1529070055.4257615</v>
      </c>
      <c r="G36" s="56">
        <f>G$16*G33</f>
        <v>41700000</v>
      </c>
      <c r="H36" s="56">
        <f>H$16*H33</f>
        <v>91304751.385359198</v>
      </c>
      <c r="I36" s="57">
        <f t="shared" ref="I36:AP36" si="10">I$16*I33</f>
        <v>329442037.43425792</v>
      </c>
      <c r="J36" s="57">
        <f t="shared" si="10"/>
        <v>533250006.56131881</v>
      </c>
      <c r="K36" s="58">
        <f t="shared" si="10"/>
        <v>507583954.42363393</v>
      </c>
      <c r="L36" s="57">
        <f t="shared" si="10"/>
        <v>25789305.621191692</v>
      </c>
      <c r="M36" s="57">
        <f t="shared" si="10"/>
        <v>0</v>
      </c>
      <c r="N36" s="57">
        <f t="shared" si="10"/>
        <v>0</v>
      </c>
      <c r="O36" s="57">
        <f t="shared" si="10"/>
        <v>0</v>
      </c>
      <c r="P36" s="57">
        <f t="shared" si="10"/>
        <v>0</v>
      </c>
      <c r="Q36" s="57">
        <f t="shared" si="10"/>
        <v>0</v>
      </c>
      <c r="R36" s="57">
        <f t="shared" si="10"/>
        <v>0</v>
      </c>
      <c r="S36" s="57">
        <f t="shared" si="10"/>
        <v>0</v>
      </c>
      <c r="T36" s="57">
        <f t="shared" si="10"/>
        <v>0</v>
      </c>
      <c r="U36" s="57">
        <f t="shared" si="10"/>
        <v>0</v>
      </c>
      <c r="V36" s="57">
        <f t="shared" si="10"/>
        <v>0</v>
      </c>
      <c r="W36" s="57">
        <f t="shared" si="10"/>
        <v>0</v>
      </c>
      <c r="X36" s="57">
        <f t="shared" si="10"/>
        <v>0</v>
      </c>
      <c r="Y36" s="57">
        <f t="shared" si="10"/>
        <v>0</v>
      </c>
      <c r="Z36" s="57">
        <f t="shared" si="10"/>
        <v>0</v>
      </c>
      <c r="AA36" s="57">
        <f t="shared" si="10"/>
        <v>0</v>
      </c>
      <c r="AB36" s="57">
        <f t="shared" si="10"/>
        <v>0</v>
      </c>
      <c r="AC36" s="57">
        <f t="shared" si="10"/>
        <v>0</v>
      </c>
      <c r="AD36" s="57">
        <f t="shared" si="10"/>
        <v>0</v>
      </c>
      <c r="AE36" s="57">
        <f t="shared" si="10"/>
        <v>0</v>
      </c>
      <c r="AF36" s="57">
        <f t="shared" si="10"/>
        <v>0</v>
      </c>
      <c r="AG36" s="57">
        <f t="shared" si="10"/>
        <v>0</v>
      </c>
      <c r="AH36" s="57">
        <f t="shared" si="10"/>
        <v>0</v>
      </c>
      <c r="AI36" s="57">
        <f t="shared" si="10"/>
        <v>0</v>
      </c>
      <c r="AJ36" s="57">
        <f t="shared" si="10"/>
        <v>0</v>
      </c>
      <c r="AK36" s="57">
        <f t="shared" si="10"/>
        <v>0</v>
      </c>
      <c r="AL36" s="57">
        <f t="shared" si="10"/>
        <v>0</v>
      </c>
      <c r="AM36" s="57">
        <f t="shared" si="10"/>
        <v>0</v>
      </c>
      <c r="AN36" s="57">
        <f t="shared" si="10"/>
        <v>0</v>
      </c>
      <c r="AO36" s="57">
        <f t="shared" si="10"/>
        <v>0</v>
      </c>
      <c r="AP36" s="57">
        <f t="shared" si="10"/>
        <v>0</v>
      </c>
    </row>
    <row r="37" spans="1:42" x14ac:dyDescent="0.2">
      <c r="A37" s="54" t="s">
        <v>9</v>
      </c>
      <c r="B37" s="55">
        <f>SUM(G37:AP37)</f>
        <v>326560177.42790926</v>
      </c>
      <c r="G37" s="56">
        <f>G$22*G33</f>
        <v>0</v>
      </c>
      <c r="H37" s="56">
        <f t="shared" ref="H37:AP37" si="11">H$22*H33</f>
        <v>0</v>
      </c>
      <c r="I37" s="57">
        <f t="shared" si="11"/>
        <v>0</v>
      </c>
      <c r="J37" s="57">
        <f t="shared" si="11"/>
        <v>0</v>
      </c>
      <c r="K37" s="58">
        <f t="shared" si="11"/>
        <v>0</v>
      </c>
      <c r="L37" s="57">
        <f t="shared" si="11"/>
        <v>21297725.366538268</v>
      </c>
      <c r="M37" s="57">
        <f t="shared" si="11"/>
        <v>20187417.409041014</v>
      </c>
      <c r="N37" s="57">
        <f t="shared" si="11"/>
        <v>19134992.804778211</v>
      </c>
      <c r="O37" s="57">
        <f t="shared" si="11"/>
        <v>18137433.938178401</v>
      </c>
      <c r="P37" s="57">
        <f t="shared" si="11"/>
        <v>17191880.510121707</v>
      </c>
      <c r="Q37" s="57">
        <f t="shared" si="11"/>
        <v>16295621.336608255</v>
      </c>
      <c r="R37" s="57">
        <f t="shared" si="11"/>
        <v>15446086.574984128</v>
      </c>
      <c r="S37" s="57">
        <f t="shared" si="11"/>
        <v>14640840.355435194</v>
      </c>
      <c r="T37" s="57">
        <f t="shared" si="11"/>
        <v>13877573.796621038</v>
      </c>
      <c r="U37" s="57">
        <f t="shared" si="11"/>
        <v>13154098.385422789</v>
      </c>
      <c r="V37" s="57">
        <f t="shared" si="11"/>
        <v>12468339.701822547</v>
      </c>
      <c r="W37" s="57">
        <f t="shared" si="11"/>
        <v>11818331.470921846</v>
      </c>
      <c r="X37" s="57">
        <f t="shared" si="11"/>
        <v>11202209.925044406</v>
      </c>
      <c r="Y37" s="57">
        <f t="shared" si="11"/>
        <v>10618208.45975773</v>
      </c>
      <c r="Z37" s="57">
        <f t="shared" si="11"/>
        <v>10064652.56849074</v>
      </c>
      <c r="AA37" s="57">
        <f t="shared" si="11"/>
        <v>9539955.0412234515</v>
      </c>
      <c r="AB37" s="57">
        <f t="shared" si="11"/>
        <v>9042611.4134819452</v>
      </c>
      <c r="AC37" s="57">
        <f t="shared" si="11"/>
        <v>8571195.6525895223</v>
      </c>
      <c r="AD37" s="57">
        <f t="shared" si="11"/>
        <v>8124356.0688052336</v>
      </c>
      <c r="AE37" s="57">
        <f t="shared" si="11"/>
        <v>7700811.4396258146</v>
      </c>
      <c r="AF37" s="57">
        <f t="shared" si="11"/>
        <v>7299347.336138214</v>
      </c>
      <c r="AG37" s="57">
        <f t="shared" si="11"/>
        <v>6918812.6408893019</v>
      </c>
      <c r="AH37" s="57">
        <f t="shared" si="11"/>
        <v>6558116.2472884394</v>
      </c>
      <c r="AI37" s="57">
        <f t="shared" si="11"/>
        <v>6216223.9310790878</v>
      </c>
      <c r="AJ37" s="57">
        <f t="shared" si="11"/>
        <v>5892155.3849090897</v>
      </c>
      <c r="AK37" s="57">
        <f t="shared" si="11"/>
        <v>5584981.407496768</v>
      </c>
      <c r="AL37" s="57">
        <f t="shared" si="11"/>
        <v>5293821.2393334294</v>
      </c>
      <c r="AM37" s="57">
        <f t="shared" si="11"/>
        <v>5017840.037282872</v>
      </c>
      <c r="AN37" s="57">
        <f t="shared" si="11"/>
        <v>4756246.480836845</v>
      </c>
      <c r="AO37" s="57">
        <f t="shared" si="11"/>
        <v>4508290.5031628869</v>
      </c>
      <c r="AP37" s="57">
        <f t="shared" si="11"/>
        <v>0</v>
      </c>
    </row>
    <row r="38" spans="1:42" x14ac:dyDescent="0.2">
      <c r="A38" s="54" t="s">
        <v>10</v>
      </c>
      <c r="B38" s="55">
        <f>SUM(G38:AP38)</f>
        <v>24677688.87375148</v>
      </c>
      <c r="G38" s="56">
        <f>G$26*G33</f>
        <v>0</v>
      </c>
      <c r="H38" s="56">
        <f t="shared" ref="H38:AP38" si="12">H$26*H33</f>
        <v>0</v>
      </c>
      <c r="I38" s="57">
        <f t="shared" si="12"/>
        <v>0</v>
      </c>
      <c r="J38" s="57">
        <f t="shared" si="12"/>
        <v>0</v>
      </c>
      <c r="K38" s="58">
        <f t="shared" si="12"/>
        <v>0</v>
      </c>
      <c r="L38" s="57">
        <f t="shared" si="12"/>
        <v>0</v>
      </c>
      <c r="M38" s="57">
        <f t="shared" si="12"/>
        <v>0</v>
      </c>
      <c r="N38" s="57">
        <f t="shared" si="12"/>
        <v>0</v>
      </c>
      <c r="O38" s="57">
        <f t="shared" si="12"/>
        <v>0</v>
      </c>
      <c r="P38" s="57">
        <f t="shared" si="12"/>
        <v>0</v>
      </c>
      <c r="Q38" s="57">
        <f t="shared" si="12"/>
        <v>0</v>
      </c>
      <c r="R38" s="57">
        <f t="shared" si="12"/>
        <v>0</v>
      </c>
      <c r="S38" s="57">
        <f t="shared" si="12"/>
        <v>0</v>
      </c>
      <c r="T38" s="57">
        <f t="shared" si="12"/>
        <v>0</v>
      </c>
      <c r="U38" s="57">
        <f t="shared" si="12"/>
        <v>0</v>
      </c>
      <c r="V38" s="57">
        <f t="shared" si="12"/>
        <v>0</v>
      </c>
      <c r="W38" s="57">
        <f t="shared" si="12"/>
        <v>0</v>
      </c>
      <c r="X38" s="57">
        <f t="shared" si="12"/>
        <v>0</v>
      </c>
      <c r="Y38" s="57">
        <f t="shared" si="12"/>
        <v>0</v>
      </c>
      <c r="Z38" s="57">
        <f t="shared" si="12"/>
        <v>0</v>
      </c>
      <c r="AA38" s="57">
        <f t="shared" si="12"/>
        <v>0</v>
      </c>
      <c r="AB38" s="57">
        <f t="shared" si="12"/>
        <v>0</v>
      </c>
      <c r="AC38" s="57">
        <f t="shared" si="12"/>
        <v>0</v>
      </c>
      <c r="AD38" s="57">
        <f t="shared" si="12"/>
        <v>0</v>
      </c>
      <c r="AE38" s="57">
        <f t="shared" si="12"/>
        <v>0</v>
      </c>
      <c r="AF38" s="57">
        <f>AF$26*AF33</f>
        <v>0</v>
      </c>
      <c r="AG38" s="57">
        <f t="shared" si="12"/>
        <v>0</v>
      </c>
      <c r="AH38" s="57">
        <f t="shared" si="12"/>
        <v>0</v>
      </c>
      <c r="AI38" s="57">
        <f t="shared" si="12"/>
        <v>0</v>
      </c>
      <c r="AJ38" s="57">
        <f t="shared" si="12"/>
        <v>0</v>
      </c>
      <c r="AK38" s="57">
        <f t="shared" si="12"/>
        <v>0</v>
      </c>
      <c r="AL38" s="57">
        <f t="shared" si="12"/>
        <v>0</v>
      </c>
      <c r="AM38" s="57">
        <f t="shared" si="12"/>
        <v>0</v>
      </c>
      <c r="AN38" s="57">
        <f t="shared" si="12"/>
        <v>0</v>
      </c>
      <c r="AO38" s="57">
        <f t="shared" si="12"/>
        <v>0</v>
      </c>
      <c r="AP38" s="57">
        <f t="shared" si="12"/>
        <v>24677688.87375148</v>
      </c>
    </row>
    <row r="39" spans="1:42" x14ac:dyDescent="0.2">
      <c r="A39" s="54" t="s">
        <v>11</v>
      </c>
      <c r="B39" s="55">
        <f>SUM(G39:AP39)</f>
        <v>1880307921.7274218</v>
      </c>
      <c r="G39" s="56">
        <f>SUM(G36:G38)</f>
        <v>41700000</v>
      </c>
      <c r="H39" s="56">
        <f>SUM(H36:H38)</f>
        <v>91304751.385359198</v>
      </c>
      <c r="I39" s="57">
        <f t="shared" ref="I39:AP39" si="13">SUM(I36:I38)</f>
        <v>329442037.43425792</v>
      </c>
      <c r="J39" s="57">
        <f t="shared" si="13"/>
        <v>533250006.56131881</v>
      </c>
      <c r="K39" s="58">
        <f t="shared" si="13"/>
        <v>507583954.42363393</v>
      </c>
      <c r="L39" s="57">
        <f t="shared" si="13"/>
        <v>47087030.987729959</v>
      </c>
      <c r="M39" s="57">
        <f t="shared" si="13"/>
        <v>20187417.409041014</v>
      </c>
      <c r="N39" s="57">
        <f t="shared" si="13"/>
        <v>19134992.804778211</v>
      </c>
      <c r="O39" s="57">
        <f t="shared" si="13"/>
        <v>18137433.938178401</v>
      </c>
      <c r="P39" s="57">
        <f t="shared" si="13"/>
        <v>17191880.510121707</v>
      </c>
      <c r="Q39" s="57">
        <f t="shared" si="13"/>
        <v>16295621.336608255</v>
      </c>
      <c r="R39" s="57">
        <f t="shared" si="13"/>
        <v>15446086.574984128</v>
      </c>
      <c r="S39" s="57">
        <f t="shared" si="13"/>
        <v>14640840.355435194</v>
      </c>
      <c r="T39" s="57">
        <f t="shared" si="13"/>
        <v>13877573.796621038</v>
      </c>
      <c r="U39" s="57">
        <f t="shared" si="13"/>
        <v>13154098.385422789</v>
      </c>
      <c r="V39" s="57">
        <f t="shared" si="13"/>
        <v>12468339.701822547</v>
      </c>
      <c r="W39" s="57">
        <f t="shared" si="13"/>
        <v>11818331.470921846</v>
      </c>
      <c r="X39" s="57">
        <f t="shared" si="13"/>
        <v>11202209.925044406</v>
      </c>
      <c r="Y39" s="57">
        <f t="shared" si="13"/>
        <v>10618208.45975773</v>
      </c>
      <c r="Z39" s="57">
        <f t="shared" si="13"/>
        <v>10064652.56849074</v>
      </c>
      <c r="AA39" s="57">
        <f t="shared" si="13"/>
        <v>9539955.0412234515</v>
      </c>
      <c r="AB39" s="57">
        <f t="shared" si="13"/>
        <v>9042611.4134819452</v>
      </c>
      <c r="AC39" s="57">
        <f t="shared" si="13"/>
        <v>8571195.6525895223</v>
      </c>
      <c r="AD39" s="57">
        <f t="shared" si="13"/>
        <v>8124356.0688052336</v>
      </c>
      <c r="AE39" s="57">
        <f t="shared" si="13"/>
        <v>7700811.4396258146</v>
      </c>
      <c r="AF39" s="57">
        <f t="shared" si="13"/>
        <v>7299347.336138214</v>
      </c>
      <c r="AG39" s="57">
        <f t="shared" si="13"/>
        <v>6918812.6408893019</v>
      </c>
      <c r="AH39" s="57">
        <f t="shared" si="13"/>
        <v>6558116.2472884394</v>
      </c>
      <c r="AI39" s="57">
        <f t="shared" si="13"/>
        <v>6216223.9310790878</v>
      </c>
      <c r="AJ39" s="57">
        <f t="shared" si="13"/>
        <v>5892155.3849090897</v>
      </c>
      <c r="AK39" s="57">
        <f t="shared" si="13"/>
        <v>5584981.407496768</v>
      </c>
      <c r="AL39" s="57">
        <f t="shared" si="13"/>
        <v>5293821.2393334294</v>
      </c>
      <c r="AM39" s="57">
        <f t="shared" si="13"/>
        <v>5017840.037282872</v>
      </c>
      <c r="AN39" s="57">
        <f t="shared" si="13"/>
        <v>4756246.480836845</v>
      </c>
      <c r="AO39" s="57">
        <f t="shared" si="13"/>
        <v>4508290.5031628869</v>
      </c>
      <c r="AP39" s="57">
        <f t="shared" si="13"/>
        <v>24677688.87375148</v>
      </c>
    </row>
    <row r="41" spans="1:42" x14ac:dyDescent="0.2">
      <c r="A41" s="54" t="s">
        <v>12</v>
      </c>
      <c r="B41" s="55">
        <f>SUM(G41:AP41)</f>
        <v>48373944.966226831</v>
      </c>
      <c r="G41" s="56">
        <f>G31*G33</f>
        <v>0</v>
      </c>
      <c r="H41" s="56">
        <f>H31*H33</f>
        <v>0</v>
      </c>
      <c r="I41" s="57">
        <f t="shared" ref="I41:AP41" si="14">I31*I33</f>
        <v>0</v>
      </c>
      <c r="J41" s="57">
        <f t="shared" si="14"/>
        <v>0</v>
      </c>
      <c r="K41" s="58">
        <f t="shared" si="14"/>
        <v>0</v>
      </c>
      <c r="L41" s="57">
        <f t="shared" si="14"/>
        <v>3154870.2689389377</v>
      </c>
      <c r="M41" s="57">
        <f t="shared" si="14"/>
        <v>2990398.3591838274</v>
      </c>
      <c r="N41" s="57">
        <f t="shared" si="14"/>
        <v>2834500.8143922533</v>
      </c>
      <c r="O41" s="57">
        <f t="shared" si="14"/>
        <v>2686730.6297556912</v>
      </c>
      <c r="P41" s="57">
        <f t="shared" si="14"/>
        <v>2546664.1040338301</v>
      </c>
      <c r="Q41" s="57">
        <f t="shared" si="14"/>
        <v>2413899.6246766164</v>
      </c>
      <c r="R41" s="57">
        <f t="shared" si="14"/>
        <v>2288056.5162811531</v>
      </c>
      <c r="S41" s="57">
        <f t="shared" si="14"/>
        <v>2168773.9490816621</v>
      </c>
      <c r="T41" s="57">
        <f t="shared" si="14"/>
        <v>2055709.9043428076</v>
      </c>
      <c r="U41" s="57">
        <f t="shared" si="14"/>
        <v>1948540.1936898655</v>
      </c>
      <c r="V41" s="57">
        <f t="shared" si="14"/>
        <v>1846957.5295638535</v>
      </c>
      <c r="W41" s="57">
        <f t="shared" si="14"/>
        <v>1750670.6441363541</v>
      </c>
      <c r="X41" s="57">
        <f t="shared" si="14"/>
        <v>1659403.4541576819</v>
      </c>
      <c r="Y41" s="57">
        <f t="shared" si="14"/>
        <v>1572894.2693437743</v>
      </c>
      <c r="Z41" s="57">
        <f t="shared" si="14"/>
        <v>1490895.0420320136</v>
      </c>
      <c r="AA41" s="57">
        <f t="shared" si="14"/>
        <v>1413170.6559545153</v>
      </c>
      <c r="AB41" s="57">
        <f t="shared" si="14"/>
        <v>1339498.252089588</v>
      </c>
      <c r="AC41" s="57">
        <f t="shared" si="14"/>
        <v>1269666.5896583775</v>
      </c>
      <c r="AD41" s="57">
        <f t="shared" si="14"/>
        <v>1203475.440434481</v>
      </c>
      <c r="AE41" s="57">
        <f t="shared" si="14"/>
        <v>1140735.0146298399</v>
      </c>
      <c r="AF41" s="57">
        <f t="shared" si="14"/>
        <v>1081265.4167107488</v>
      </c>
      <c r="AG41" s="57">
        <f t="shared" si="14"/>
        <v>1024896.1295836482</v>
      </c>
      <c r="AH41" s="57">
        <f t="shared" si="14"/>
        <v>971465.52567170456</v>
      </c>
      <c r="AI41" s="57">
        <f t="shared" si="14"/>
        <v>920820.40348028846</v>
      </c>
      <c r="AJ41" s="57">
        <f t="shared" si="14"/>
        <v>872815.54832254851</v>
      </c>
      <c r="AK41" s="57">
        <f t="shared" si="14"/>
        <v>827313.3159455437</v>
      </c>
      <c r="AL41" s="57">
        <f t="shared" si="14"/>
        <v>784183.23786307464</v>
      </c>
      <c r="AM41" s="57">
        <f t="shared" si="14"/>
        <v>743301.64726357791</v>
      </c>
      <c r="AN41" s="57">
        <f t="shared" si="14"/>
        <v>704551.32442045305</v>
      </c>
      <c r="AO41" s="57">
        <f t="shared" si="14"/>
        <v>667821.16058810719</v>
      </c>
      <c r="AP41" s="57">
        <f t="shared" si="14"/>
        <v>0</v>
      </c>
    </row>
    <row r="43" spans="1:42" x14ac:dyDescent="0.2">
      <c r="A43" s="51" t="s">
        <v>13</v>
      </c>
      <c r="B43" s="69">
        <f>B39/B41</f>
        <v>38.870262142982007</v>
      </c>
      <c r="C43" s="59" t="s">
        <v>148</v>
      </c>
      <c r="D43" s="59"/>
    </row>
    <row r="44" spans="1:42" x14ac:dyDescent="0.2">
      <c r="B44" s="66"/>
      <c r="AF44" s="16">
        <f>AF22*AF33</f>
        <v>7299347.336138214</v>
      </c>
    </row>
    <row r="46" spans="1:42" x14ac:dyDescent="0.2">
      <c r="H46" s="206"/>
    </row>
    <row r="47" spans="1:42" x14ac:dyDescent="0.2">
      <c r="A47" s="148"/>
      <c r="H47" s="207"/>
      <c r="N47" s="16">
        <f>SUMPRODUCT($C$6:$C6,N$6:N6)</f>
        <v>0</v>
      </c>
    </row>
    <row r="48" spans="1:42" x14ac:dyDescent="0.2">
      <c r="A48" s="148"/>
      <c r="H48" s="204"/>
      <c r="I48" s="206"/>
    </row>
    <row r="50" spans="1:42" x14ac:dyDescent="0.2">
      <c r="N50" s="4">
        <f>(SUMPRODUCT($C$6:$C6,N$6:N6)+Calculator!$G40*1000*N7+SUMPRODUCT($C8:$C$15,N8:N$15))</f>
        <v>0</v>
      </c>
    </row>
    <row r="51" spans="1:42" x14ac:dyDescent="0.2">
      <c r="G51" s="205">
        <f>'LCOE Base'!G39</f>
        <v>41700000</v>
      </c>
      <c r="H51" s="205">
        <f>'LCOE Base'!H39</f>
        <v>91304751.385359198</v>
      </c>
      <c r="I51" s="205">
        <f>'LCOE Base'!I39</f>
        <v>329442037.43425792</v>
      </c>
      <c r="J51" s="205">
        <f>'LCOE Base'!J39</f>
        <v>533250006.56131881</v>
      </c>
      <c r="K51" s="205">
        <f>'LCOE Base'!K39</f>
        <v>507583954.42363393</v>
      </c>
      <c r="L51" s="205">
        <f>'LCOE Base'!L39</f>
        <v>47087030.987729959</v>
      </c>
      <c r="M51" s="205">
        <f>'LCOE Base'!M39</f>
        <v>20187417.409041014</v>
      </c>
      <c r="N51" s="205">
        <f>'LCOE Base'!N39</f>
        <v>19134992.804778211</v>
      </c>
      <c r="O51" s="205">
        <f>'LCOE Base'!O39</f>
        <v>18137433.938178401</v>
      </c>
      <c r="P51" s="205">
        <f>'LCOE Base'!P39</f>
        <v>17191880.510121707</v>
      </c>
      <c r="Q51" s="205">
        <f>'LCOE Base'!Q39</f>
        <v>16295621.336608255</v>
      </c>
      <c r="R51" s="205">
        <f>'LCOE Base'!R39</f>
        <v>15446086.574984128</v>
      </c>
      <c r="S51" s="205">
        <f>'LCOE Base'!S39</f>
        <v>14640840.355435194</v>
      </c>
      <c r="T51" s="205">
        <f>'LCOE Base'!T39</f>
        <v>13877573.796621038</v>
      </c>
      <c r="U51" s="205">
        <f>'LCOE Base'!U39</f>
        <v>13154098.385422789</v>
      </c>
      <c r="V51" s="205">
        <f>'LCOE Base'!V39</f>
        <v>12468339.701822547</v>
      </c>
      <c r="W51" s="205">
        <f>'LCOE Base'!W39</f>
        <v>11818331.470921846</v>
      </c>
      <c r="X51" s="205">
        <f>'LCOE Base'!X39</f>
        <v>11202209.925044406</v>
      </c>
      <c r="Y51" s="205">
        <f>'LCOE Base'!Y39</f>
        <v>10618208.45975773</v>
      </c>
      <c r="Z51" s="205">
        <f>'LCOE Base'!Z39</f>
        <v>10064652.56849074</v>
      </c>
      <c r="AA51" s="205">
        <f>'LCOE Base'!AA39</f>
        <v>9539955.0412234515</v>
      </c>
      <c r="AB51" s="205">
        <f>'LCOE Base'!AB39</f>
        <v>9042611.4134819452</v>
      </c>
      <c r="AC51" s="205">
        <f>'LCOE Base'!AC39</f>
        <v>8571195.6525895223</v>
      </c>
      <c r="AD51" s="205">
        <f>'LCOE Base'!AD39</f>
        <v>8124356.0688052336</v>
      </c>
      <c r="AE51" s="205">
        <f>'LCOE Base'!AE39</f>
        <v>7700811.4396258146</v>
      </c>
      <c r="AF51" s="205">
        <f>'LCOE Base'!AF39</f>
        <v>7299347.336138214</v>
      </c>
      <c r="AG51" s="205">
        <f>'LCOE Base'!AG39</f>
        <v>6918812.6408893019</v>
      </c>
      <c r="AH51" s="205">
        <f>'LCOE Base'!AH39</f>
        <v>6558116.2472884394</v>
      </c>
      <c r="AI51" s="205">
        <f>'LCOE Base'!AI39</f>
        <v>6216223.9310790878</v>
      </c>
      <c r="AJ51" s="205">
        <f>'LCOE Base'!AJ39</f>
        <v>5892155.3849090897</v>
      </c>
      <c r="AK51" s="205">
        <f>'LCOE Base'!AK39</f>
        <v>5584981.407496768</v>
      </c>
      <c r="AL51" s="205">
        <f>'LCOE Base'!AL39</f>
        <v>5293821.2393334294</v>
      </c>
      <c r="AM51" s="205">
        <f>'LCOE Base'!AM39</f>
        <v>5017840.037282872</v>
      </c>
      <c r="AN51" s="205">
        <f>'LCOE Base'!AN39</f>
        <v>4756246.480836845</v>
      </c>
      <c r="AO51" s="205">
        <f>'LCOE Base'!AO39</f>
        <v>4508290.5031628869</v>
      </c>
      <c r="AP51" s="205">
        <f>'LCOE Base'!AP39</f>
        <v>24677688.87375148</v>
      </c>
    </row>
    <row r="53" spans="1:42" s="166" customFormat="1" x14ac:dyDescent="0.2">
      <c r="A53" s="163" t="str">
        <f>Calculator!B38</f>
        <v>CAPEX</v>
      </c>
      <c r="B53" s="172" t="s">
        <v>85</v>
      </c>
      <c r="C53" s="177" t="s">
        <v>86</v>
      </c>
      <c r="F53" s="167"/>
      <c r="K53" s="178"/>
    </row>
    <row r="54" spans="1:42" x14ac:dyDescent="0.2">
      <c r="A54" s="54" t="str">
        <f>Calculator!B39</f>
        <v>Project development and consenting to FID</v>
      </c>
      <c r="B54" s="152">
        <f>SUM(G54:AP54)/$B$41</f>
        <v>38.870262142982007</v>
      </c>
      <c r="C54" s="154">
        <f t="shared" ref="C54:C59" si="15">B54/$B$43-1</f>
        <v>0</v>
      </c>
      <c r="F54" s="15" t="str">
        <f>A6</f>
        <v>Project development and consenting up to FID</v>
      </c>
      <c r="G54" s="245">
        <f>(Calculator!$G39*1000*G6+SUMPRODUCT($C7:$C$15,G7:G$15))*G33*Calculator!$C$72+G37+G38</f>
        <v>41700000</v>
      </c>
      <c r="H54" s="245">
        <f>(Calculator!$G39*1000*H6+SUMPRODUCT($C7:$C$15,H7:H$15))*H33*Calculator!$C$72+H37+H38</f>
        <v>91304751.385359198</v>
      </c>
      <c r="I54" s="245">
        <f>(Calculator!$G39*1000*I6+SUMPRODUCT($C7:$C$15,I7:I$15))*I33*Calculator!$C$72+I37+I38</f>
        <v>329442037.43425792</v>
      </c>
      <c r="J54" s="245">
        <f>(Calculator!$G39*1000*J6+SUMPRODUCT($C7:$C$15,J7:J$15))*J33*Calculator!$C$72+J37+J38</f>
        <v>533250006.56131876</v>
      </c>
      <c r="K54" s="245">
        <f>(Calculator!$G39*1000*K6+SUMPRODUCT($C7:$C$15,K7:K$15))*K33*Calculator!$C$72+K37+K38</f>
        <v>507583954.42363393</v>
      </c>
      <c r="L54" s="245">
        <f>(Calculator!$G39*1000*L6+SUMPRODUCT($C7:$C$15,L7:L$15))*L33*Calculator!$C$72+L37+L38</f>
        <v>47087030.987729959</v>
      </c>
      <c r="M54" s="245">
        <f>(Calculator!$G39*1000*M6+SUMPRODUCT($C7:$C$15,M7:M$15))*M33*Calculator!$C$72+M37+M38</f>
        <v>20187417.409041014</v>
      </c>
      <c r="N54" s="245">
        <f>(Calculator!$G39*1000*N6+SUMPRODUCT($C7:$C$15,N7:N$15))*N33*Calculator!$C$72+N37+N38</f>
        <v>19134992.804778211</v>
      </c>
      <c r="O54" s="245">
        <f>(Calculator!$G39*1000*O6+SUMPRODUCT($C7:$C$15,O7:O$15))*O33*Calculator!$C$72+O37+O38</f>
        <v>18137433.938178401</v>
      </c>
      <c r="P54" s="245">
        <f>(Calculator!$G39*1000*P6+SUMPRODUCT($C7:$C$15,P7:P$15))*P33*Calculator!$C$72+P37+P38</f>
        <v>17191880.510121707</v>
      </c>
      <c r="Q54" s="245">
        <f>(Calculator!$G39*1000*Q6+SUMPRODUCT($C7:$C$15,Q7:Q$15))*Q33*Calculator!$C$72+Q37+Q38</f>
        <v>16295621.336608255</v>
      </c>
      <c r="R54" s="245">
        <f>(Calculator!$G39*1000*R6+SUMPRODUCT($C7:$C$15,R7:R$15))*R33*Calculator!$C$72+R37+R38</f>
        <v>15446086.574984128</v>
      </c>
      <c r="S54" s="245">
        <f>(Calculator!$G39*1000*S6+SUMPRODUCT($C7:$C$15,S7:S$15))*S33*Calculator!$C$72+S37+S38</f>
        <v>14640840.355435194</v>
      </c>
      <c r="T54" s="245">
        <f>(Calculator!$G39*1000*T6+SUMPRODUCT($C7:$C$15,T7:T$15))*T33*Calculator!$C$72+T37+T38</f>
        <v>13877573.796621038</v>
      </c>
      <c r="U54" s="245">
        <f>(Calculator!$G39*1000*U6+SUMPRODUCT($C7:$C$15,U7:U$15))*U33*Calculator!$C$72+U37+U38</f>
        <v>13154098.385422789</v>
      </c>
      <c r="V54" s="245">
        <f>(Calculator!$G39*1000*V6+SUMPRODUCT($C7:$C$15,V7:V$15))*V33*Calculator!$C$72+V37+V38</f>
        <v>12468339.701822547</v>
      </c>
      <c r="W54" s="245">
        <f>(Calculator!$G39*1000*W6+SUMPRODUCT($C7:$C$15,W7:W$15))*W33*Calculator!$C$72+W37+W38</f>
        <v>11818331.470921846</v>
      </c>
      <c r="X54" s="245">
        <f>(Calculator!$G39*1000*X6+SUMPRODUCT($C7:$C$15,X7:X$15))*X33*Calculator!$C$72+X37+X38</f>
        <v>11202209.925044406</v>
      </c>
      <c r="Y54" s="245">
        <f>(Calculator!$G39*1000*Y6+SUMPRODUCT($C7:$C$15,Y7:Y$15))*Y33*Calculator!$C$72+Y37+Y38</f>
        <v>10618208.45975773</v>
      </c>
      <c r="Z54" s="245">
        <f>(Calculator!$G39*1000*Z6+SUMPRODUCT($C7:$C$15,Z7:Z$15))*Z33*Calculator!$C$72+Z37+Z38</f>
        <v>10064652.56849074</v>
      </c>
      <c r="AA54" s="245">
        <f>(Calculator!$G39*1000*AA6+SUMPRODUCT($C7:$C$15,AA7:AA$15))*AA33*Calculator!$C$72+AA37+AA38</f>
        <v>9539955.0412234515</v>
      </c>
      <c r="AB54" s="245">
        <f>(Calculator!$G39*1000*AB6+SUMPRODUCT($C7:$C$15,AB7:AB$15))*AB33*Calculator!$C$72+AB37+AB38</f>
        <v>9042611.4134819452</v>
      </c>
      <c r="AC54" s="245">
        <f>(Calculator!$G39*1000*AC6+SUMPRODUCT($C7:$C$15,AC7:AC$15))*AC33*Calculator!$C$72+AC37+AC38</f>
        <v>8571195.6525895223</v>
      </c>
      <c r="AD54" s="245">
        <f>(Calculator!$G39*1000*AD6+SUMPRODUCT($C7:$C$15,AD7:AD$15))*AD33*Calculator!$C$72+AD37+AD38</f>
        <v>8124356.0688052336</v>
      </c>
      <c r="AE54" s="245">
        <f>(Calculator!$G39*1000*AE6+SUMPRODUCT($C7:$C$15,AE7:AE$15))*AE33*Calculator!$C$72+AE37+AE38</f>
        <v>7700811.4396258146</v>
      </c>
      <c r="AF54" s="245">
        <f>(Calculator!$G39*1000*AF6+SUMPRODUCT($C7:$C$15,AF7:AF$15))*AF33*Calculator!$C$72+AF37+AF38</f>
        <v>7299347.336138214</v>
      </c>
      <c r="AG54" s="245">
        <f>(Calculator!$G39*1000*AG6+SUMPRODUCT($C7:$C$15,AG7:AG$15))*AG33*Calculator!$C$72+AG37+AG38</f>
        <v>6918812.6408893019</v>
      </c>
      <c r="AH54" s="245">
        <f>(Calculator!$G39*1000*AH6+SUMPRODUCT($C7:$C$15,AH7:AH$15))*AH33*Calculator!$C$72+AH37+AH38</f>
        <v>6558116.2472884394</v>
      </c>
      <c r="AI54" s="245">
        <f>(Calculator!$G39*1000*AI6+SUMPRODUCT($C7:$C$15,AI7:AI$15))*AI33*Calculator!$C$72+AI37+AI38</f>
        <v>6216223.9310790878</v>
      </c>
      <c r="AJ54" s="245">
        <f>(Calculator!$G39*1000*AJ6+SUMPRODUCT($C7:$C$15,AJ7:AJ$15))*AJ33*Calculator!$C$72+AJ37+AJ38</f>
        <v>5892155.3849090897</v>
      </c>
      <c r="AK54" s="245">
        <f>(Calculator!$G39*1000*AK6+SUMPRODUCT($C7:$C$15,AK7:AK$15))*AK33*Calculator!$C$72+AK37+AK38</f>
        <v>5584981.407496768</v>
      </c>
      <c r="AL54" s="245">
        <f>(Calculator!$G39*1000*AL6+SUMPRODUCT($C7:$C$15,AL7:AL$15))*AL33*Calculator!$C$72+AL37+AL38</f>
        <v>5293821.2393334294</v>
      </c>
      <c r="AM54" s="245">
        <f>(Calculator!$G39*1000*AM6+SUMPRODUCT($C7:$C$15,AM7:AM$15))*AM33*Calculator!$C$72+AM37+AM38</f>
        <v>5017840.037282872</v>
      </c>
      <c r="AN54" s="245">
        <f>(Calculator!$G39*1000*AN6+SUMPRODUCT($C7:$C$15,AN7:AN$15))*AN33*Calculator!$C$72+AN37+AN38</f>
        <v>4756246.480836845</v>
      </c>
      <c r="AO54" s="245">
        <f>(Calculator!$G39*1000*AO6+SUMPRODUCT($C7:$C$15,AO7:AO$15))*AO33*Calculator!$C$72+AO37+AO38</f>
        <v>4508290.5031628869</v>
      </c>
      <c r="AP54" s="245">
        <f>(Calculator!$G39*1000*AP6+SUMPRODUCT($C7:$C$15,AP7:AP$15))*AP33*Calculator!$C$72+AP37+AP38</f>
        <v>24677688.87375148</v>
      </c>
    </row>
    <row r="55" spans="1:42" x14ac:dyDescent="0.2">
      <c r="A55" s="54" t="str">
        <f>Calculator!B40</f>
        <v>Project development from FID to WCD</v>
      </c>
      <c r="B55" s="152">
        <f t="shared" ref="B55:B59" si="16">SUM(G55:AP55)/$B$41</f>
        <v>38.870262142982007</v>
      </c>
      <c r="C55" s="154">
        <f t="shared" si="15"/>
        <v>0</v>
      </c>
      <c r="F55" s="15" t="str">
        <f t="shared" ref="F55:F63" si="17">A7</f>
        <v>Project management and contingencies from FID to WCD</v>
      </c>
      <c r="G55" s="245">
        <f>(SUMPRODUCT($C$6:$C6,G$6:G6)+Calculator!$G40*1000*G7+SUMPRODUCT($C8:$C$15,G8:G$15))*Calculator!$C$72*G$33+G$37+G$38</f>
        <v>41700000</v>
      </c>
      <c r="H55" s="245">
        <f>(SUMPRODUCT($C$6:$C6,H$6:H6)+Calculator!$G40*1000*H7+SUMPRODUCT($C8:$C$15,H8:H$15))*Calculator!$C$72*H$33+H$37+H$38</f>
        <v>91304751.385359183</v>
      </c>
      <c r="I55" s="245">
        <f>(SUMPRODUCT($C$6:$C6,I$6:I6)+Calculator!$G40*1000*I7+SUMPRODUCT($C8:$C$15,I8:I$15))*Calculator!$C$72*I$33+I$37+I$38</f>
        <v>329442037.43425792</v>
      </c>
      <c r="J55" s="245">
        <f>(SUMPRODUCT($C$6:$C6,J$6:J6)+Calculator!$G40*1000*J7+SUMPRODUCT($C8:$C$15,J8:J$15))*Calculator!$C$72*J$33+J$37+J$38</f>
        <v>533250006.5613187</v>
      </c>
      <c r="K55" s="245">
        <f>(SUMPRODUCT($C$6:$C6,K$6:K6)+Calculator!$G40*1000*K7+SUMPRODUCT($C8:$C$15,K8:K$15))*Calculator!$C$72*K$33+K$37+K$38</f>
        <v>507583954.42363393</v>
      </c>
      <c r="L55" s="245">
        <f>(SUMPRODUCT($C$6:$C6,L$6:L6)+Calculator!$G40*1000*L7+SUMPRODUCT($C8:$C$15,L8:L$15))*Calculator!$C$72*L$33+L$37+L$38</f>
        <v>47087030.987729959</v>
      </c>
      <c r="M55" s="245">
        <f>(SUMPRODUCT($C$6:$C6,M$6:M6)+Calculator!$G40*1000*M7+SUMPRODUCT($C8:$C$15,M8:M$15))*Calculator!$C$72*M$33+M$37+M$38</f>
        <v>20187417.409041014</v>
      </c>
      <c r="N55" s="245">
        <f>(SUMPRODUCT($C$6:$C6,N$6:N6)+Calculator!$G40*1000*N7+SUMPRODUCT($C8:$C$15,N8:N$15))*Calculator!$C$72*N$33+N$37+N$38</f>
        <v>19134992.804778211</v>
      </c>
      <c r="O55" s="245">
        <f>(SUMPRODUCT($C$6:$C6,O$6:O6)+Calculator!$G40*1000*O7+SUMPRODUCT($C8:$C$15,O8:O$15))*Calculator!$C$72*O$33+O$37+O$38</f>
        <v>18137433.938178401</v>
      </c>
      <c r="P55" s="245">
        <f>(SUMPRODUCT($C$6:$C6,P$6:P6)+Calculator!$G40*1000*P7+SUMPRODUCT($C8:$C$15,P8:P$15))*Calculator!$C$72*P$33+P$37+P$38</f>
        <v>17191880.510121707</v>
      </c>
      <c r="Q55" s="245">
        <f>(SUMPRODUCT($C$6:$C6,Q$6:Q6)+Calculator!$G40*1000*Q7+SUMPRODUCT($C8:$C$15,Q8:Q$15))*Calculator!$C$72*Q$33+Q$37+Q$38</f>
        <v>16295621.336608255</v>
      </c>
      <c r="R55" s="245">
        <f>(SUMPRODUCT($C$6:$C6,R$6:R6)+Calculator!$G40*1000*R7+SUMPRODUCT($C8:$C$15,R8:R$15))*Calculator!$C$72*R$33+R$37+R$38</f>
        <v>15446086.574984128</v>
      </c>
      <c r="S55" s="245">
        <f>(SUMPRODUCT($C$6:$C6,S$6:S6)+Calculator!$G40*1000*S7+SUMPRODUCT($C8:$C$15,S8:S$15))*Calculator!$C$72*S$33+S$37+S$38</f>
        <v>14640840.355435194</v>
      </c>
      <c r="T55" s="245">
        <f>(SUMPRODUCT($C$6:$C6,T$6:T6)+Calculator!$G40*1000*T7+SUMPRODUCT($C8:$C$15,T8:T$15))*Calculator!$C$72*T$33+T$37+T$38</f>
        <v>13877573.796621038</v>
      </c>
      <c r="U55" s="245">
        <f>(SUMPRODUCT($C$6:$C6,U$6:U6)+Calculator!$G40*1000*U7+SUMPRODUCT($C8:$C$15,U8:U$15))*Calculator!$C$72*U$33+U$37+U$38</f>
        <v>13154098.385422789</v>
      </c>
      <c r="V55" s="245">
        <f>(SUMPRODUCT($C$6:$C6,V$6:V6)+Calculator!$G40*1000*V7+SUMPRODUCT($C8:$C$15,V8:V$15))*Calculator!$C$72*V$33+V$37+V$38</f>
        <v>12468339.701822547</v>
      </c>
      <c r="W55" s="245">
        <f>(SUMPRODUCT($C$6:$C6,W$6:W6)+Calculator!$G40*1000*W7+SUMPRODUCT($C8:$C$15,W8:W$15))*Calculator!$C$72*W$33+W$37+W$38</f>
        <v>11818331.470921846</v>
      </c>
      <c r="X55" s="245">
        <f>(SUMPRODUCT($C$6:$C6,X$6:X6)+Calculator!$G40*1000*X7+SUMPRODUCT($C8:$C$15,X8:X$15))*Calculator!$C$72*X$33+X$37+X$38</f>
        <v>11202209.925044406</v>
      </c>
      <c r="Y55" s="245">
        <f>(SUMPRODUCT($C$6:$C6,Y$6:Y6)+Calculator!$G40*1000*Y7+SUMPRODUCT($C8:$C$15,Y8:Y$15))*Calculator!$C$72*Y$33+Y$37+Y$38</f>
        <v>10618208.45975773</v>
      </c>
      <c r="Z55" s="245">
        <f>(SUMPRODUCT($C$6:$C6,Z$6:Z6)+Calculator!$G40*1000*Z7+SUMPRODUCT($C8:$C$15,Z8:Z$15))*Calculator!$C$72*Z$33+Z$37+Z$38</f>
        <v>10064652.56849074</v>
      </c>
      <c r="AA55" s="245">
        <f>(SUMPRODUCT($C$6:$C6,AA$6:AA6)+Calculator!$G40*1000*AA7+SUMPRODUCT($C8:$C$15,AA8:AA$15))*Calculator!$C$72*AA$33+AA$37+AA$38</f>
        <v>9539955.0412234515</v>
      </c>
      <c r="AB55" s="245">
        <f>(SUMPRODUCT($C$6:$C6,AB$6:AB6)+Calculator!$G40*1000*AB7+SUMPRODUCT($C8:$C$15,AB8:AB$15))*Calculator!$C$72*AB$33+AB$37+AB$38</f>
        <v>9042611.4134819452</v>
      </c>
      <c r="AC55" s="245">
        <f>(SUMPRODUCT($C$6:$C6,AC$6:AC6)+Calculator!$G40*1000*AC7+SUMPRODUCT($C8:$C$15,AC8:AC$15))*Calculator!$C$72*AC$33+AC$37+AC$38</f>
        <v>8571195.6525895223</v>
      </c>
      <c r="AD55" s="245">
        <f>(SUMPRODUCT($C$6:$C6,AD$6:AD6)+Calculator!$G40*1000*AD7+SUMPRODUCT($C8:$C$15,AD8:AD$15))*Calculator!$C$72*AD$33+AD$37+AD$38</f>
        <v>8124356.0688052336</v>
      </c>
      <c r="AE55" s="245">
        <f>(SUMPRODUCT($C$6:$C6,AE$6:AE6)+Calculator!$G40*1000*AE7+SUMPRODUCT($C8:$C$15,AE8:AE$15))*Calculator!$C$72*AE$33+AE$37+AE$38</f>
        <v>7700811.4396258146</v>
      </c>
      <c r="AF55" s="245">
        <f>(SUMPRODUCT($C$6:$C6,AF$6:AF6)+Calculator!$G40*1000*AF7+SUMPRODUCT($C8:$C$15,AF8:AF$15))*Calculator!$C$72*AF$33+AF$37+AF$38</f>
        <v>7299347.336138214</v>
      </c>
      <c r="AG55" s="245">
        <f>(SUMPRODUCT($C$6:$C6,AG$6:AG6)+Calculator!$G40*1000*AG7+SUMPRODUCT($C8:$C$15,AG8:AG$15))*Calculator!$C$72*AG$33+AG$37+AG$38</f>
        <v>6918812.6408893019</v>
      </c>
      <c r="AH55" s="245">
        <f>(SUMPRODUCT($C$6:$C6,AH$6:AH6)+Calculator!$G40*1000*AH7+SUMPRODUCT($C8:$C$15,AH8:AH$15))*Calculator!$C$72*AH$33+AH$37+AH$38</f>
        <v>6558116.2472884394</v>
      </c>
      <c r="AI55" s="245">
        <f>(SUMPRODUCT($C$6:$C6,AI$6:AI6)+Calculator!$G40*1000*AI7+SUMPRODUCT($C8:$C$15,AI8:AI$15))*Calculator!$C$72*AI$33+AI$37+AI$38</f>
        <v>6216223.9310790878</v>
      </c>
      <c r="AJ55" s="245">
        <f>(SUMPRODUCT($C$6:$C6,AJ$6:AJ6)+Calculator!$G40*1000*AJ7+SUMPRODUCT($C8:$C$15,AJ8:AJ$15))*Calculator!$C$72*AJ$33+AJ$37+AJ$38</f>
        <v>5892155.3849090897</v>
      </c>
      <c r="AK55" s="245">
        <f>(SUMPRODUCT($C$6:$C6,AK$6:AK6)+Calculator!$G40*1000*AK7+SUMPRODUCT($C8:$C$15,AK8:AK$15))*Calculator!$C$72*AK$33+AK$37+AK$38</f>
        <v>5584981.407496768</v>
      </c>
      <c r="AL55" s="245">
        <f>(SUMPRODUCT($C$6:$C6,AL$6:AL6)+Calculator!$G40*1000*AL7+SUMPRODUCT($C8:$C$15,AL8:AL$15))*Calculator!$C$72*AL$33+AL$37+AL$38</f>
        <v>5293821.2393334294</v>
      </c>
      <c r="AM55" s="245">
        <f>(SUMPRODUCT($C$6:$C6,AM$6:AM6)+Calculator!$G40*1000*AM7+SUMPRODUCT($C8:$C$15,AM8:AM$15))*Calculator!$C$72*AM$33+AM$37+AM$38</f>
        <v>5017840.037282872</v>
      </c>
      <c r="AN55" s="245">
        <f>(SUMPRODUCT($C$6:$C6,AN$6:AN6)+Calculator!$G40*1000*AN7+SUMPRODUCT($C8:$C$15,AN8:AN$15))*Calculator!$C$72*AN$33+AN$37+AN$38</f>
        <v>4756246.480836845</v>
      </c>
      <c r="AO55" s="245">
        <f>(SUMPRODUCT($C$6:$C6,AO$6:AO6)+Calculator!$G40*1000*AO7+SUMPRODUCT($C8:$C$15,AO8:AO$15))*Calculator!$C$72*AO$33+AO$37+AO$38</f>
        <v>4508290.5031628869</v>
      </c>
      <c r="AP55" s="245">
        <f>(SUMPRODUCT($C$6:$C6,AP$6:AP6)+Calculator!$G40*1000*AP7+SUMPRODUCT($C8:$C$15,AP8:AP$15))*Calculator!$C$72*AP$33+AP$37+AP$38</f>
        <v>24677688.87375148</v>
      </c>
    </row>
    <row r="56" spans="1:42" x14ac:dyDescent="0.2">
      <c r="A56" s="54" t="str">
        <f>Calculator!B47</f>
        <v>Construction phase insurance</v>
      </c>
      <c r="B56" s="152">
        <f>SUM(G56:AP56)/$B$41</f>
        <v>38.870262142982007</v>
      </c>
      <c r="C56" s="154">
        <f t="shared" si="15"/>
        <v>0</v>
      </c>
      <c r="F56" s="15" t="str">
        <f t="shared" si="17"/>
        <v>Construction phase insurance</v>
      </c>
      <c r="G56" s="245">
        <f>(SUMPRODUCT($C$6:$C7,G$6:G7)+Calculator!$G47*1000*G8+SUMPRODUCT($C9:$C$15,G9:G$15))*Calculator!$C$72*G$33+G$37+G$38</f>
        <v>41700000</v>
      </c>
      <c r="H56" s="245">
        <f>(SUMPRODUCT($C$6:$C7,H$6:H7)+Calculator!$G47*1000*H8+SUMPRODUCT($C9:$C$15,H9:H$15))*Calculator!$C$72*H$33+H$37+H$38</f>
        <v>91304751.385359198</v>
      </c>
      <c r="I56" s="245">
        <f>(SUMPRODUCT($C$6:$C7,I$6:I7)+Calculator!$G47*1000*I8+SUMPRODUCT($C9:$C$15,I9:I$15))*Calculator!$C$72*I$33+I$37+I$38</f>
        <v>329442037.43425792</v>
      </c>
      <c r="J56" s="245">
        <f>(SUMPRODUCT($C$6:$C7,J$6:J7)+Calculator!$G47*1000*J8+SUMPRODUCT($C9:$C$15,J9:J$15))*Calculator!$C$72*J$33+J$37+J$38</f>
        <v>533250006.5613187</v>
      </c>
      <c r="K56" s="245">
        <f>(SUMPRODUCT($C$6:$C7,K$6:K7)+Calculator!$G47*1000*K8+SUMPRODUCT($C9:$C$15,K9:K$15))*Calculator!$C$72*K$33+K$37+K$38</f>
        <v>507583954.42363393</v>
      </c>
      <c r="L56" s="245">
        <f>(SUMPRODUCT($C$6:$C7,L$6:L7)+Calculator!$G47*1000*L8+SUMPRODUCT($C9:$C$15,L9:L$15))*Calculator!$C$72*L$33+L$37+L$38</f>
        <v>47087030.987729959</v>
      </c>
      <c r="M56" s="245">
        <f>(SUMPRODUCT($C$6:$C7,M$6:M7)+Calculator!$G47*1000*M8+SUMPRODUCT($C9:$C$15,M9:M$15))*Calculator!$C$72*M$33+M$37+M$38</f>
        <v>20187417.409041014</v>
      </c>
      <c r="N56" s="245">
        <f>(SUMPRODUCT($C$6:$C7,N$6:N7)+Calculator!$G47*1000*N8+SUMPRODUCT($C9:$C$15,N9:N$15))*Calculator!$C$72*N$33+N$37+N$38</f>
        <v>19134992.804778211</v>
      </c>
      <c r="O56" s="245">
        <f>(SUMPRODUCT($C$6:$C7,O$6:O7)+Calculator!$G47*1000*O8+SUMPRODUCT($C9:$C$15,O9:O$15))*Calculator!$C$72*O$33+O$37+O$38</f>
        <v>18137433.938178401</v>
      </c>
      <c r="P56" s="245">
        <f>(SUMPRODUCT($C$6:$C7,P$6:P7)+Calculator!$G47*1000*P8+SUMPRODUCT($C9:$C$15,P9:P$15))*Calculator!$C$72*P$33+P$37+P$38</f>
        <v>17191880.510121707</v>
      </c>
      <c r="Q56" s="245">
        <f>(SUMPRODUCT($C$6:$C7,Q$6:Q7)+Calculator!$G47*1000*Q8+SUMPRODUCT($C9:$C$15,Q9:Q$15))*Calculator!$C$72*Q$33+Q$37+Q$38</f>
        <v>16295621.336608255</v>
      </c>
      <c r="R56" s="245">
        <f>(SUMPRODUCT($C$6:$C7,R$6:R7)+Calculator!$G47*1000*R8+SUMPRODUCT($C9:$C$15,R9:R$15))*Calculator!$C$72*R$33+R$37+R$38</f>
        <v>15446086.574984128</v>
      </c>
      <c r="S56" s="245">
        <f>(SUMPRODUCT($C$6:$C7,S$6:S7)+Calculator!$G47*1000*S8+SUMPRODUCT($C9:$C$15,S9:S$15))*Calculator!$C$72*S$33+S$37+S$38</f>
        <v>14640840.355435194</v>
      </c>
      <c r="T56" s="245">
        <f>(SUMPRODUCT($C$6:$C7,T$6:T7)+Calculator!$G47*1000*T8+SUMPRODUCT($C9:$C$15,T9:T$15))*Calculator!$C$72*T$33+T$37+T$38</f>
        <v>13877573.796621038</v>
      </c>
      <c r="U56" s="245">
        <f>(SUMPRODUCT($C$6:$C7,U$6:U7)+Calculator!$G47*1000*U8+SUMPRODUCT($C9:$C$15,U9:U$15))*Calculator!$C$72*U$33+U$37+U$38</f>
        <v>13154098.385422789</v>
      </c>
      <c r="V56" s="245">
        <f>(SUMPRODUCT($C$6:$C7,V$6:V7)+Calculator!$G47*1000*V8+SUMPRODUCT($C9:$C$15,V9:V$15))*Calculator!$C$72*V$33+V$37+V$38</f>
        <v>12468339.701822547</v>
      </c>
      <c r="W56" s="245">
        <f>(SUMPRODUCT($C$6:$C7,W$6:W7)+Calculator!$G47*1000*W8+SUMPRODUCT($C9:$C$15,W9:W$15))*Calculator!$C$72*W$33+W$37+W$38</f>
        <v>11818331.470921846</v>
      </c>
      <c r="X56" s="245">
        <f>(SUMPRODUCT($C$6:$C7,X$6:X7)+Calculator!$G47*1000*X8+SUMPRODUCT($C9:$C$15,X9:X$15))*Calculator!$C$72*X$33+X$37+X$38</f>
        <v>11202209.925044406</v>
      </c>
      <c r="Y56" s="245">
        <f>(SUMPRODUCT($C$6:$C7,Y$6:Y7)+Calculator!$G47*1000*Y8+SUMPRODUCT($C9:$C$15,Y9:Y$15))*Calculator!$C$72*Y$33+Y$37+Y$38</f>
        <v>10618208.45975773</v>
      </c>
      <c r="Z56" s="245">
        <f>(SUMPRODUCT($C$6:$C7,Z$6:Z7)+Calculator!$G47*1000*Z8+SUMPRODUCT($C9:$C$15,Z9:Z$15))*Calculator!$C$72*Z$33+Z$37+Z$38</f>
        <v>10064652.56849074</v>
      </c>
      <c r="AA56" s="245">
        <f>(SUMPRODUCT($C$6:$C7,AA$6:AA7)+Calculator!$G47*1000*AA8+SUMPRODUCT($C9:$C$15,AA9:AA$15))*Calculator!$C$72*AA$33+AA$37+AA$38</f>
        <v>9539955.0412234515</v>
      </c>
      <c r="AB56" s="245">
        <f>(SUMPRODUCT($C$6:$C7,AB$6:AB7)+Calculator!$G47*1000*AB8+SUMPRODUCT($C9:$C$15,AB9:AB$15))*Calculator!$C$72*AB$33+AB$37+AB$38</f>
        <v>9042611.4134819452</v>
      </c>
      <c r="AC56" s="245">
        <f>(SUMPRODUCT($C$6:$C7,AC$6:AC7)+Calculator!$G47*1000*AC8+SUMPRODUCT($C9:$C$15,AC9:AC$15))*Calculator!$C$72*AC$33+AC$37+AC$38</f>
        <v>8571195.6525895223</v>
      </c>
      <c r="AD56" s="245">
        <f>(SUMPRODUCT($C$6:$C7,AD$6:AD7)+Calculator!$G47*1000*AD8+SUMPRODUCT($C9:$C$15,AD9:AD$15))*Calculator!$C$72*AD$33+AD$37+AD$38</f>
        <v>8124356.0688052336</v>
      </c>
      <c r="AE56" s="245">
        <f>(SUMPRODUCT($C$6:$C7,AE$6:AE7)+Calculator!$G47*1000*AE8+SUMPRODUCT($C9:$C$15,AE9:AE$15))*Calculator!$C$72*AE$33+AE$37+AE$38</f>
        <v>7700811.4396258146</v>
      </c>
      <c r="AF56" s="245">
        <f>(SUMPRODUCT($C$6:$C7,AF$6:AF7)+Calculator!$G47*1000*AF8+SUMPRODUCT($C9:$C$15,AF9:AF$15))*Calculator!$C$72*AF$33+AF$37+AF$38</f>
        <v>7299347.336138214</v>
      </c>
      <c r="AG56" s="245">
        <f>(SUMPRODUCT($C$6:$C7,AG$6:AG7)+Calculator!$G47*1000*AG8+SUMPRODUCT($C9:$C$15,AG9:AG$15))*Calculator!$C$72*AG$33+AG$37+AG$38</f>
        <v>6918812.6408893019</v>
      </c>
      <c r="AH56" s="245">
        <f>(SUMPRODUCT($C$6:$C7,AH$6:AH7)+Calculator!$G47*1000*AH8+SUMPRODUCT($C9:$C$15,AH9:AH$15))*Calculator!$C$72*AH$33+AH$37+AH$38</f>
        <v>6558116.2472884394</v>
      </c>
      <c r="AI56" s="245">
        <f>(SUMPRODUCT($C$6:$C7,AI$6:AI7)+Calculator!$G47*1000*AI8+SUMPRODUCT($C9:$C$15,AI9:AI$15))*Calculator!$C$72*AI$33+AI$37+AI$38</f>
        <v>6216223.9310790878</v>
      </c>
      <c r="AJ56" s="245">
        <f>(SUMPRODUCT($C$6:$C7,AJ$6:AJ7)+Calculator!$G47*1000*AJ8+SUMPRODUCT($C9:$C$15,AJ9:AJ$15))*Calculator!$C$72*AJ$33+AJ$37+AJ$38</f>
        <v>5892155.3849090897</v>
      </c>
      <c r="AK56" s="245">
        <f>(SUMPRODUCT($C$6:$C7,AK$6:AK7)+Calculator!$G47*1000*AK8+SUMPRODUCT($C9:$C$15,AK9:AK$15))*Calculator!$C$72*AK$33+AK$37+AK$38</f>
        <v>5584981.407496768</v>
      </c>
      <c r="AL56" s="245">
        <f>(SUMPRODUCT($C$6:$C7,AL$6:AL7)+Calculator!$G47*1000*AL8+SUMPRODUCT($C9:$C$15,AL9:AL$15))*Calculator!$C$72*AL$33+AL$37+AL$38</f>
        <v>5293821.2393334294</v>
      </c>
      <c r="AM56" s="245">
        <f>(SUMPRODUCT($C$6:$C7,AM$6:AM7)+Calculator!$G47*1000*AM8+SUMPRODUCT($C9:$C$15,AM9:AM$15))*Calculator!$C$72*AM$33+AM$37+AM$38</f>
        <v>5017840.037282872</v>
      </c>
      <c r="AN56" s="245">
        <f>(SUMPRODUCT($C$6:$C7,AN$6:AN7)+Calculator!$G47*1000*AN8+SUMPRODUCT($C9:$C$15,AN9:AN$15))*Calculator!$C$72*AN$33+AN$37+AN$38</f>
        <v>4756246.480836845</v>
      </c>
      <c r="AO56" s="245">
        <f>(SUMPRODUCT($C$6:$C7,AO$6:AO7)+Calculator!$G47*1000*AO8+SUMPRODUCT($C9:$C$15,AO9:AO$15))*Calculator!$C$72*AO$33+AO$37+AO$38</f>
        <v>4508290.5031628869</v>
      </c>
      <c r="AP56" s="245">
        <f>(SUMPRODUCT($C$6:$C7,AP$6:AP7)+Calculator!$G47*1000*AP8+SUMPRODUCT($C9:$C$15,AP9:AP$15))*Calculator!$C$72*AP$33+AP$37+AP$38</f>
        <v>24677688.87375148</v>
      </c>
    </row>
    <row r="57" spans="1:42" x14ac:dyDescent="0.2">
      <c r="A57" s="54" t="str">
        <f>Calculator!B41</f>
        <v>Turbine (excluding tower)</v>
      </c>
      <c r="B57" s="152">
        <f t="shared" si="16"/>
        <v>38.870262142982007</v>
      </c>
      <c r="C57" s="154">
        <f t="shared" si="15"/>
        <v>0</v>
      </c>
      <c r="F57" s="15" t="str">
        <f t="shared" si="17"/>
        <v>Turbine</v>
      </c>
      <c r="G57" s="245">
        <f>(SUMPRODUCT($C$6:$C8,G$6:G8)+Calculator!$G41*1000*G9+SUMPRODUCT($C10:$C$15,G10:G$15))*Calculator!$C$72*G$33+G$37+G$38</f>
        <v>41700000</v>
      </c>
      <c r="H57" s="245">
        <f>(SUMPRODUCT($C$6:$C8,H$6:H8)+Calculator!$G41*1000*H9+SUMPRODUCT($C10:$C$15,H10:H$15))*Calculator!$C$72*H$33+H$37+H$38</f>
        <v>91304751.385359198</v>
      </c>
      <c r="I57" s="245">
        <f>(SUMPRODUCT($C$6:$C8,I$6:I8)+Calculator!$G41*1000*I9+SUMPRODUCT($C10:$C$15,I10:I$15))*Calculator!$C$72*I$33+I$37+I$38</f>
        <v>329442037.43425798</v>
      </c>
      <c r="J57" s="245">
        <f>(SUMPRODUCT($C$6:$C8,J$6:J8)+Calculator!$G41*1000*J9+SUMPRODUCT($C10:$C$15,J10:J$15))*Calculator!$C$72*J$33+J$37+J$38</f>
        <v>533250006.56131881</v>
      </c>
      <c r="K57" s="245">
        <f>(SUMPRODUCT($C$6:$C8,K$6:K8)+Calculator!$G41*1000*K9+SUMPRODUCT($C10:$C$15,K10:K$15))*Calculator!$C$72*K$33+K$37+K$38</f>
        <v>507583954.42363393</v>
      </c>
      <c r="L57" s="245">
        <f>(SUMPRODUCT($C$6:$C8,L$6:L8)+Calculator!$G41*1000*L9+SUMPRODUCT($C10:$C$15,L10:L$15))*Calculator!$C$72*L$33+L$37+L$38</f>
        <v>47087030.987729959</v>
      </c>
      <c r="M57" s="245">
        <f>(SUMPRODUCT($C$6:$C8,M$6:M8)+Calculator!$G41*1000*M9+SUMPRODUCT($C10:$C$15,M10:M$15))*Calculator!$C$72*M$33+M$37+M$38</f>
        <v>20187417.409041014</v>
      </c>
      <c r="N57" s="245">
        <f>(SUMPRODUCT($C$6:$C8,N$6:N8)+Calculator!$G41*1000*N9+SUMPRODUCT($C10:$C$15,N10:N$15))*Calculator!$C$72*N$33+N$37+N$38</f>
        <v>19134992.804778211</v>
      </c>
      <c r="O57" s="245">
        <f>(SUMPRODUCT($C$6:$C8,O$6:O8)+Calculator!$G41*1000*O9+SUMPRODUCT($C10:$C$15,O10:O$15))*Calculator!$C$72*O$33+O$37+O$38</f>
        <v>18137433.938178401</v>
      </c>
      <c r="P57" s="245">
        <f>(SUMPRODUCT($C$6:$C8,P$6:P8)+Calculator!$G41*1000*P9+SUMPRODUCT($C10:$C$15,P10:P$15))*Calculator!$C$72*P$33+P$37+P$38</f>
        <v>17191880.510121707</v>
      </c>
      <c r="Q57" s="245">
        <f>(SUMPRODUCT($C$6:$C8,Q$6:Q8)+Calculator!$G41*1000*Q9+SUMPRODUCT($C10:$C$15,Q10:Q$15))*Calculator!$C$72*Q$33+Q$37+Q$38</f>
        <v>16295621.336608255</v>
      </c>
      <c r="R57" s="245">
        <f>(SUMPRODUCT($C$6:$C8,R$6:R8)+Calculator!$G41*1000*R9+SUMPRODUCT($C10:$C$15,R10:R$15))*Calculator!$C$72*R$33+R$37+R$38</f>
        <v>15446086.574984128</v>
      </c>
      <c r="S57" s="245">
        <f>(SUMPRODUCT($C$6:$C8,S$6:S8)+Calculator!$G41*1000*S9+SUMPRODUCT($C10:$C$15,S10:S$15))*Calculator!$C$72*S$33+S$37+S$38</f>
        <v>14640840.355435194</v>
      </c>
      <c r="T57" s="245">
        <f>(SUMPRODUCT($C$6:$C8,T$6:T8)+Calculator!$G41*1000*T9+SUMPRODUCT($C10:$C$15,T10:T$15))*Calculator!$C$72*T$33+T$37+T$38</f>
        <v>13877573.796621038</v>
      </c>
      <c r="U57" s="245">
        <f>(SUMPRODUCT($C$6:$C8,U$6:U8)+Calculator!$G41*1000*U9+SUMPRODUCT($C10:$C$15,U10:U$15))*Calculator!$C$72*U$33+U$37+U$38</f>
        <v>13154098.385422789</v>
      </c>
      <c r="V57" s="245">
        <f>(SUMPRODUCT($C$6:$C8,V$6:V8)+Calculator!$G41*1000*V9+SUMPRODUCT($C10:$C$15,V10:V$15))*Calculator!$C$72*V$33+V$37+V$38</f>
        <v>12468339.701822547</v>
      </c>
      <c r="W57" s="245">
        <f>(SUMPRODUCT($C$6:$C8,W$6:W8)+Calculator!$G41*1000*W9+SUMPRODUCT($C10:$C$15,W10:W$15))*Calculator!$C$72*W$33+W$37+W$38</f>
        <v>11818331.470921846</v>
      </c>
      <c r="X57" s="245">
        <f>(SUMPRODUCT($C$6:$C8,X$6:X8)+Calculator!$G41*1000*X9+SUMPRODUCT($C10:$C$15,X10:X$15))*Calculator!$C$72*X$33+X$37+X$38</f>
        <v>11202209.925044406</v>
      </c>
      <c r="Y57" s="245">
        <f>(SUMPRODUCT($C$6:$C8,Y$6:Y8)+Calculator!$G41*1000*Y9+SUMPRODUCT($C10:$C$15,Y10:Y$15))*Calculator!$C$72*Y$33+Y$37+Y$38</f>
        <v>10618208.45975773</v>
      </c>
      <c r="Z57" s="245">
        <f>(SUMPRODUCT($C$6:$C8,Z$6:Z8)+Calculator!$G41*1000*Z9+SUMPRODUCT($C10:$C$15,Z10:Z$15))*Calculator!$C$72*Z$33+Z$37+Z$38</f>
        <v>10064652.56849074</v>
      </c>
      <c r="AA57" s="245">
        <f>(SUMPRODUCT($C$6:$C8,AA$6:AA8)+Calculator!$G41*1000*AA9+SUMPRODUCT($C10:$C$15,AA10:AA$15))*Calculator!$C$72*AA$33+AA$37+AA$38</f>
        <v>9539955.0412234515</v>
      </c>
      <c r="AB57" s="245">
        <f>(SUMPRODUCT($C$6:$C8,AB$6:AB8)+Calculator!$G41*1000*AB9+SUMPRODUCT($C10:$C$15,AB10:AB$15))*Calculator!$C$72*AB$33+AB$37+AB$38</f>
        <v>9042611.4134819452</v>
      </c>
      <c r="AC57" s="245">
        <f>(SUMPRODUCT($C$6:$C8,AC$6:AC8)+Calculator!$G41*1000*AC9+SUMPRODUCT($C10:$C$15,AC10:AC$15))*Calculator!$C$72*AC$33+AC$37+AC$38</f>
        <v>8571195.6525895223</v>
      </c>
      <c r="AD57" s="245">
        <f>(SUMPRODUCT($C$6:$C8,AD$6:AD8)+Calculator!$G41*1000*AD9+SUMPRODUCT($C10:$C$15,AD10:AD$15))*Calculator!$C$72*AD$33+AD$37+AD$38</f>
        <v>8124356.0688052336</v>
      </c>
      <c r="AE57" s="245">
        <f>(SUMPRODUCT($C$6:$C8,AE$6:AE8)+Calculator!$G41*1000*AE9+SUMPRODUCT($C10:$C$15,AE10:AE$15))*Calculator!$C$72*AE$33+AE$37+AE$38</f>
        <v>7700811.4396258146</v>
      </c>
      <c r="AF57" s="245">
        <f>(SUMPRODUCT($C$6:$C8,AF$6:AF8)+Calculator!$G41*1000*AF9+SUMPRODUCT($C10:$C$15,AF10:AF$15))*Calculator!$C$72*AF$33+AF$37+AF$38</f>
        <v>7299347.336138214</v>
      </c>
      <c r="AG57" s="245">
        <f>(SUMPRODUCT($C$6:$C8,AG$6:AG8)+Calculator!$G41*1000*AG9+SUMPRODUCT($C10:$C$15,AG10:AG$15))*Calculator!$C$72*AG$33+AG$37+AG$38</f>
        <v>6918812.6408893019</v>
      </c>
      <c r="AH57" s="245">
        <f>(SUMPRODUCT($C$6:$C8,AH$6:AH8)+Calculator!$G41*1000*AH9+SUMPRODUCT($C10:$C$15,AH10:AH$15))*Calculator!$C$72*AH$33+AH$37+AH$38</f>
        <v>6558116.2472884394</v>
      </c>
      <c r="AI57" s="245">
        <f>(SUMPRODUCT($C$6:$C8,AI$6:AI8)+Calculator!$G41*1000*AI9+SUMPRODUCT($C10:$C$15,AI10:AI$15))*Calculator!$C$72*AI$33+AI$37+AI$38</f>
        <v>6216223.9310790878</v>
      </c>
      <c r="AJ57" s="245">
        <f>(SUMPRODUCT($C$6:$C8,AJ$6:AJ8)+Calculator!$G41*1000*AJ9+SUMPRODUCT($C10:$C$15,AJ10:AJ$15))*Calculator!$C$72*AJ$33+AJ$37+AJ$38</f>
        <v>5892155.3849090897</v>
      </c>
      <c r="AK57" s="245">
        <f>(SUMPRODUCT($C$6:$C8,AK$6:AK8)+Calculator!$G41*1000*AK9+SUMPRODUCT($C10:$C$15,AK10:AK$15))*Calculator!$C$72*AK$33+AK$37+AK$38</f>
        <v>5584981.407496768</v>
      </c>
      <c r="AL57" s="245">
        <f>(SUMPRODUCT($C$6:$C8,AL$6:AL8)+Calculator!$G41*1000*AL9+SUMPRODUCT($C10:$C$15,AL10:AL$15))*Calculator!$C$72*AL$33+AL$37+AL$38</f>
        <v>5293821.2393334294</v>
      </c>
      <c r="AM57" s="245">
        <f>(SUMPRODUCT($C$6:$C8,AM$6:AM8)+Calculator!$G41*1000*AM9+SUMPRODUCT($C10:$C$15,AM10:AM$15))*Calculator!$C$72*AM$33+AM$37+AM$38</f>
        <v>5017840.037282872</v>
      </c>
      <c r="AN57" s="245">
        <f>(SUMPRODUCT($C$6:$C8,AN$6:AN8)+Calculator!$G41*1000*AN9+SUMPRODUCT($C10:$C$15,AN10:AN$15))*Calculator!$C$72*AN$33+AN$37+AN$38</f>
        <v>4756246.480836845</v>
      </c>
      <c r="AO57" s="245">
        <f>(SUMPRODUCT($C$6:$C8,AO$6:AO8)+Calculator!$G41*1000*AO9+SUMPRODUCT($C10:$C$15,AO10:AO$15))*Calculator!$C$72*AO$33+AO$37+AO$38</f>
        <v>4508290.5031628869</v>
      </c>
      <c r="AP57" s="245">
        <f>(SUMPRODUCT($C$6:$C8,AP$6:AP8)+Calculator!$G41*1000*AP9+SUMPRODUCT($C10:$C$15,AP10:AP$15))*Calculator!$C$72*AP$33+AP$37+AP$38</f>
        <v>24677688.87375148</v>
      </c>
    </row>
    <row r="58" spans="1:42" x14ac:dyDescent="0.2">
      <c r="A58" s="148" t="s">
        <v>69</v>
      </c>
      <c r="B58" s="152">
        <f t="shared" si="16"/>
        <v>38.870262142982007</v>
      </c>
      <c r="C58" s="154">
        <f t="shared" si="15"/>
        <v>0</v>
      </c>
      <c r="F58" s="15" t="str">
        <f t="shared" si="17"/>
        <v>Tower</v>
      </c>
      <c r="G58" s="245">
        <f>(SUMPRODUCT($C$6:$C9,G$6:G9)+Calculator!$G42*1000*G10+SUMPRODUCT($C11:$C$15,G11:G$15))*Calculator!$C$72*G$33+G$37+G$38</f>
        <v>41700000</v>
      </c>
      <c r="H58" s="245">
        <f>(SUMPRODUCT($C$6:$C9,H$6:H9)+Calculator!$G42*1000*H10+SUMPRODUCT($C11:$C$15,H11:H$15))*Calculator!$C$72*H$33+H$37+H$38</f>
        <v>91304751.385359198</v>
      </c>
      <c r="I58" s="245">
        <f>(SUMPRODUCT($C$6:$C9,I$6:I9)+Calculator!$G42*1000*I10+SUMPRODUCT($C11:$C$15,I11:I$15))*Calculator!$C$72*I$33+I$37+I$38</f>
        <v>329442037.43425798</v>
      </c>
      <c r="J58" s="245">
        <f>(SUMPRODUCT($C$6:$C9,J$6:J9)+Calculator!$G42*1000*J10+SUMPRODUCT($C11:$C$15,J11:J$15))*Calculator!$C$72*J$33+J$37+J$38</f>
        <v>533250006.5613187</v>
      </c>
      <c r="K58" s="245">
        <f>(SUMPRODUCT($C$6:$C9,K$6:K9)+Calculator!$G42*1000*K10+SUMPRODUCT($C11:$C$15,K11:K$15))*Calculator!$C$72*K$33+K$37+K$38</f>
        <v>507583954.42363393</v>
      </c>
      <c r="L58" s="245">
        <f>(SUMPRODUCT($C$6:$C9,L$6:L9)+Calculator!$G42*1000*L10+SUMPRODUCT($C11:$C$15,L11:L$15))*Calculator!$C$72*L$33+L$37+L$38</f>
        <v>47087030.987729959</v>
      </c>
      <c r="M58" s="245">
        <f>(SUMPRODUCT($C$6:$C9,M$6:M9)+Calculator!$G42*1000*M10+SUMPRODUCT($C11:$C$15,M11:M$15))*Calculator!$C$72*M$33+M$37+M$38</f>
        <v>20187417.409041014</v>
      </c>
      <c r="N58" s="245">
        <f>(SUMPRODUCT($C$6:$C9,N$6:N9)+Calculator!$G42*1000*N10+SUMPRODUCT($C11:$C$15,N11:N$15))*Calculator!$C$72*N$33+N$37+N$38</f>
        <v>19134992.804778211</v>
      </c>
      <c r="O58" s="245">
        <f>(SUMPRODUCT($C$6:$C9,O$6:O9)+Calculator!$G42*1000*O10+SUMPRODUCT($C11:$C$15,O11:O$15))*Calculator!$C$72*O$33+O$37+O$38</f>
        <v>18137433.938178401</v>
      </c>
      <c r="P58" s="245">
        <f>(SUMPRODUCT($C$6:$C9,P$6:P9)+Calculator!$G42*1000*P10+SUMPRODUCT($C11:$C$15,P11:P$15))*Calculator!$C$72*P$33+P$37+P$38</f>
        <v>17191880.510121707</v>
      </c>
      <c r="Q58" s="245">
        <f>(SUMPRODUCT($C$6:$C9,Q$6:Q9)+Calculator!$G42*1000*Q10+SUMPRODUCT($C11:$C$15,Q11:Q$15))*Calculator!$C$72*Q$33+Q$37+Q$38</f>
        <v>16295621.336608255</v>
      </c>
      <c r="R58" s="245">
        <f>(SUMPRODUCT($C$6:$C9,R$6:R9)+Calculator!$G42*1000*R10+SUMPRODUCT($C11:$C$15,R11:R$15))*Calculator!$C$72*R$33+R$37+R$38</f>
        <v>15446086.574984128</v>
      </c>
      <c r="S58" s="245">
        <f>(SUMPRODUCT($C$6:$C9,S$6:S9)+Calculator!$G42*1000*S10+SUMPRODUCT($C11:$C$15,S11:S$15))*Calculator!$C$72*S$33+S$37+S$38</f>
        <v>14640840.355435194</v>
      </c>
      <c r="T58" s="245">
        <f>(SUMPRODUCT($C$6:$C9,T$6:T9)+Calculator!$G42*1000*T10+SUMPRODUCT($C11:$C$15,T11:T$15))*Calculator!$C$72*T$33+T$37+T$38</f>
        <v>13877573.796621038</v>
      </c>
      <c r="U58" s="245">
        <f>(SUMPRODUCT($C$6:$C9,U$6:U9)+Calculator!$G42*1000*U10+SUMPRODUCT($C11:$C$15,U11:U$15))*Calculator!$C$72*U$33+U$37+U$38</f>
        <v>13154098.385422789</v>
      </c>
      <c r="V58" s="245">
        <f>(SUMPRODUCT($C$6:$C9,V$6:V9)+Calculator!$G42*1000*V10+SUMPRODUCT($C11:$C$15,V11:V$15))*Calculator!$C$72*V$33+V$37+V$38</f>
        <v>12468339.701822547</v>
      </c>
      <c r="W58" s="245">
        <f>(SUMPRODUCT($C$6:$C9,W$6:W9)+Calculator!$G42*1000*W10+SUMPRODUCT($C11:$C$15,W11:W$15))*Calculator!$C$72*W$33+W$37+W$38</f>
        <v>11818331.470921846</v>
      </c>
      <c r="X58" s="245">
        <f>(SUMPRODUCT($C$6:$C9,X$6:X9)+Calculator!$G42*1000*X10+SUMPRODUCT($C11:$C$15,X11:X$15))*Calculator!$C$72*X$33+X$37+X$38</f>
        <v>11202209.925044406</v>
      </c>
      <c r="Y58" s="245">
        <f>(SUMPRODUCT($C$6:$C9,Y$6:Y9)+Calculator!$G42*1000*Y10+SUMPRODUCT($C11:$C$15,Y11:Y$15))*Calculator!$C$72*Y$33+Y$37+Y$38</f>
        <v>10618208.45975773</v>
      </c>
      <c r="Z58" s="245">
        <f>(SUMPRODUCT($C$6:$C9,Z$6:Z9)+Calculator!$G42*1000*Z10+SUMPRODUCT($C11:$C$15,Z11:Z$15))*Calculator!$C$72*Z$33+Z$37+Z$38</f>
        <v>10064652.56849074</v>
      </c>
      <c r="AA58" s="245">
        <f>(SUMPRODUCT($C$6:$C9,AA$6:AA9)+Calculator!$G42*1000*AA10+SUMPRODUCT($C11:$C$15,AA11:AA$15))*Calculator!$C$72*AA$33+AA$37+AA$38</f>
        <v>9539955.0412234515</v>
      </c>
      <c r="AB58" s="245">
        <f>(SUMPRODUCT($C$6:$C9,AB$6:AB9)+Calculator!$G42*1000*AB10+SUMPRODUCT($C11:$C$15,AB11:AB$15))*Calculator!$C$72*AB$33+AB$37+AB$38</f>
        <v>9042611.4134819452</v>
      </c>
      <c r="AC58" s="245">
        <f>(SUMPRODUCT($C$6:$C9,AC$6:AC9)+Calculator!$G42*1000*AC10+SUMPRODUCT($C11:$C$15,AC11:AC$15))*Calculator!$C$72*AC$33+AC$37+AC$38</f>
        <v>8571195.6525895223</v>
      </c>
      <c r="AD58" s="245">
        <f>(SUMPRODUCT($C$6:$C9,AD$6:AD9)+Calculator!$G42*1000*AD10+SUMPRODUCT($C11:$C$15,AD11:AD$15))*Calculator!$C$72*AD$33+AD$37+AD$38</f>
        <v>8124356.0688052336</v>
      </c>
      <c r="AE58" s="245">
        <f>(SUMPRODUCT($C$6:$C9,AE$6:AE9)+Calculator!$G42*1000*AE10+SUMPRODUCT($C11:$C$15,AE11:AE$15))*Calculator!$C$72*AE$33+AE$37+AE$38</f>
        <v>7700811.4396258146</v>
      </c>
      <c r="AF58" s="245">
        <f>(SUMPRODUCT($C$6:$C9,AF$6:AF9)+Calculator!$G42*1000*AF10+SUMPRODUCT($C11:$C$15,AF11:AF$15))*Calculator!$C$72*AF$33+AF$37+AF$38</f>
        <v>7299347.336138214</v>
      </c>
      <c r="AG58" s="245">
        <f>(SUMPRODUCT($C$6:$C9,AG$6:AG9)+Calculator!$G42*1000*AG10+SUMPRODUCT($C11:$C$15,AG11:AG$15))*Calculator!$C$72*AG$33+AG$37+AG$38</f>
        <v>6918812.6408893019</v>
      </c>
      <c r="AH58" s="245">
        <f>(SUMPRODUCT($C$6:$C9,AH$6:AH9)+Calculator!$G42*1000*AH10+SUMPRODUCT($C11:$C$15,AH11:AH$15))*Calculator!$C$72*AH$33+AH$37+AH$38</f>
        <v>6558116.2472884394</v>
      </c>
      <c r="AI58" s="245">
        <f>(SUMPRODUCT($C$6:$C9,AI$6:AI9)+Calculator!$G42*1000*AI10+SUMPRODUCT($C11:$C$15,AI11:AI$15))*Calculator!$C$72*AI$33+AI$37+AI$38</f>
        <v>6216223.9310790878</v>
      </c>
      <c r="AJ58" s="245">
        <f>(SUMPRODUCT($C$6:$C9,AJ$6:AJ9)+Calculator!$G42*1000*AJ10+SUMPRODUCT($C11:$C$15,AJ11:AJ$15))*Calculator!$C$72*AJ$33+AJ$37+AJ$38</f>
        <v>5892155.3849090897</v>
      </c>
      <c r="AK58" s="245">
        <f>(SUMPRODUCT($C$6:$C9,AK$6:AK9)+Calculator!$G42*1000*AK10+SUMPRODUCT($C11:$C$15,AK11:AK$15))*Calculator!$C$72*AK$33+AK$37+AK$38</f>
        <v>5584981.407496768</v>
      </c>
      <c r="AL58" s="245">
        <f>(SUMPRODUCT($C$6:$C9,AL$6:AL9)+Calculator!$G42*1000*AL10+SUMPRODUCT($C11:$C$15,AL11:AL$15))*Calculator!$C$72*AL$33+AL$37+AL$38</f>
        <v>5293821.2393334294</v>
      </c>
      <c r="AM58" s="245">
        <f>(SUMPRODUCT($C$6:$C9,AM$6:AM9)+Calculator!$G42*1000*AM10+SUMPRODUCT($C11:$C$15,AM11:AM$15))*Calculator!$C$72*AM$33+AM$37+AM$38</f>
        <v>5017840.037282872</v>
      </c>
      <c r="AN58" s="245">
        <f>(SUMPRODUCT($C$6:$C9,AN$6:AN9)+Calculator!$G42*1000*AN10+SUMPRODUCT($C11:$C$15,AN11:AN$15))*Calculator!$C$72*AN$33+AN$37+AN$38</f>
        <v>4756246.480836845</v>
      </c>
      <c r="AO58" s="245">
        <f>(SUMPRODUCT($C$6:$C9,AO$6:AO9)+Calculator!$G42*1000*AO10+SUMPRODUCT($C11:$C$15,AO11:AO$15))*Calculator!$C$72*AO$33+AO$37+AO$38</f>
        <v>4508290.5031628869</v>
      </c>
      <c r="AP58" s="245">
        <f>(SUMPRODUCT($C$6:$C9,AP$6:AP9)+Calculator!$G42*1000*AP10+SUMPRODUCT($C11:$C$15,AP11:AP$15))*Calculator!$C$72*AP$33+AP$37+AP$38</f>
        <v>24677688.87375148</v>
      </c>
    </row>
    <row r="59" spans="1:42" x14ac:dyDescent="0.2">
      <c r="A59" s="54" t="str">
        <f>Calculator!B43</f>
        <v>Support structure</v>
      </c>
      <c r="B59" s="152">
        <f t="shared" si="16"/>
        <v>38.870262142982007</v>
      </c>
      <c r="C59" s="154">
        <f t="shared" si="15"/>
        <v>0</v>
      </c>
      <c r="F59" s="15" t="str">
        <f t="shared" si="17"/>
        <v>Support structure</v>
      </c>
      <c r="G59" s="245">
        <f>(SUMPRODUCT($C$6:$C10,G$6:G10)+Calculator!$G43*1000*G11+SUMPRODUCT($C12:$C$15,G12:G$15))*Calculator!$C$72*G$33+G$37+G$38</f>
        <v>41700000</v>
      </c>
      <c r="H59" s="245">
        <f>(SUMPRODUCT($C$6:$C10,H$6:H10)+Calculator!$G43*1000*H11+SUMPRODUCT($C12:$C$15,H12:H$15))*Calculator!$C$72*H$33+H$37+H$38</f>
        <v>91304751.385359198</v>
      </c>
      <c r="I59" s="245">
        <f>(SUMPRODUCT($C$6:$C10,I$6:I10)+Calculator!$G43*1000*I11+SUMPRODUCT($C12:$C$15,I12:I$15))*Calculator!$C$72*I$33+I$37+I$38</f>
        <v>329442037.43425798</v>
      </c>
      <c r="J59" s="245">
        <f>(SUMPRODUCT($C$6:$C10,J$6:J10)+Calculator!$G43*1000*J11+SUMPRODUCT($C12:$C$15,J12:J$15))*Calculator!$C$72*J$33+J$37+J$38</f>
        <v>533250006.5613187</v>
      </c>
      <c r="K59" s="245">
        <f>(SUMPRODUCT($C$6:$C10,K$6:K10)+Calculator!$G43*1000*K11+SUMPRODUCT($C12:$C$15,K12:K$15))*Calculator!$C$72*K$33+K$37+K$38</f>
        <v>507583954.42363393</v>
      </c>
      <c r="L59" s="245">
        <f>(SUMPRODUCT($C$6:$C10,L$6:L10)+Calculator!$G43*1000*L11+SUMPRODUCT($C12:$C$15,L12:L$15))*Calculator!$C$72*L$33+L$37+L$38</f>
        <v>47087030.987729959</v>
      </c>
      <c r="M59" s="245">
        <f>(SUMPRODUCT($C$6:$C10,M$6:M10)+Calculator!$G43*1000*M11+SUMPRODUCT($C12:$C$15,M12:M$15))*Calculator!$C$72*M$33+M$37+M$38</f>
        <v>20187417.409041014</v>
      </c>
      <c r="N59" s="245">
        <f>(SUMPRODUCT($C$6:$C10,N$6:N10)+Calculator!$G43*1000*N11+SUMPRODUCT($C12:$C$15,N12:N$15))*Calculator!$C$72*N$33+N$37+N$38</f>
        <v>19134992.804778211</v>
      </c>
      <c r="O59" s="245">
        <f>(SUMPRODUCT($C$6:$C10,O$6:O10)+Calculator!$G43*1000*O11+SUMPRODUCT($C12:$C$15,O12:O$15))*Calculator!$C$72*O$33+O$37+O$38</f>
        <v>18137433.938178401</v>
      </c>
      <c r="P59" s="245">
        <f>(SUMPRODUCT($C$6:$C10,P$6:P10)+Calculator!$G43*1000*P11+SUMPRODUCT($C12:$C$15,P12:P$15))*Calculator!$C$72*P$33+P$37+P$38</f>
        <v>17191880.510121707</v>
      </c>
      <c r="Q59" s="245">
        <f>(SUMPRODUCT($C$6:$C10,Q$6:Q10)+Calculator!$G43*1000*Q11+SUMPRODUCT($C12:$C$15,Q12:Q$15))*Calculator!$C$72*Q$33+Q$37+Q$38</f>
        <v>16295621.336608255</v>
      </c>
      <c r="R59" s="245">
        <f>(SUMPRODUCT($C$6:$C10,R$6:R10)+Calculator!$G43*1000*R11+SUMPRODUCT($C12:$C$15,R12:R$15))*Calculator!$C$72*R$33+R$37+R$38</f>
        <v>15446086.574984128</v>
      </c>
      <c r="S59" s="245">
        <f>(SUMPRODUCT($C$6:$C10,S$6:S10)+Calculator!$G43*1000*S11+SUMPRODUCT($C12:$C$15,S12:S$15))*Calculator!$C$72*S$33+S$37+S$38</f>
        <v>14640840.355435194</v>
      </c>
      <c r="T59" s="245">
        <f>(SUMPRODUCT($C$6:$C10,T$6:T10)+Calculator!$G43*1000*T11+SUMPRODUCT($C12:$C$15,T12:T$15))*Calculator!$C$72*T$33+T$37+T$38</f>
        <v>13877573.796621038</v>
      </c>
      <c r="U59" s="245">
        <f>(SUMPRODUCT($C$6:$C10,U$6:U10)+Calculator!$G43*1000*U11+SUMPRODUCT($C12:$C$15,U12:U$15))*Calculator!$C$72*U$33+U$37+U$38</f>
        <v>13154098.385422789</v>
      </c>
      <c r="V59" s="245">
        <f>(SUMPRODUCT($C$6:$C10,V$6:V10)+Calculator!$G43*1000*V11+SUMPRODUCT($C12:$C$15,V12:V$15))*Calculator!$C$72*V$33+V$37+V$38</f>
        <v>12468339.701822547</v>
      </c>
      <c r="W59" s="245">
        <f>(SUMPRODUCT($C$6:$C10,W$6:W10)+Calculator!$G43*1000*W11+SUMPRODUCT($C12:$C$15,W12:W$15))*Calculator!$C$72*W$33+W$37+W$38</f>
        <v>11818331.470921846</v>
      </c>
      <c r="X59" s="245">
        <f>(SUMPRODUCT($C$6:$C10,X$6:X10)+Calculator!$G43*1000*X11+SUMPRODUCT($C12:$C$15,X12:X$15))*Calculator!$C$72*X$33+X$37+X$38</f>
        <v>11202209.925044406</v>
      </c>
      <c r="Y59" s="245">
        <f>(SUMPRODUCT($C$6:$C10,Y$6:Y10)+Calculator!$G43*1000*Y11+SUMPRODUCT($C12:$C$15,Y12:Y$15))*Calculator!$C$72*Y$33+Y$37+Y$38</f>
        <v>10618208.45975773</v>
      </c>
      <c r="Z59" s="245">
        <f>(SUMPRODUCT($C$6:$C10,Z$6:Z10)+Calculator!$G43*1000*Z11+SUMPRODUCT($C12:$C$15,Z12:Z$15))*Calculator!$C$72*Z$33+Z$37+Z$38</f>
        <v>10064652.56849074</v>
      </c>
      <c r="AA59" s="245">
        <f>(SUMPRODUCT($C$6:$C10,AA$6:AA10)+Calculator!$G43*1000*AA11+SUMPRODUCT($C12:$C$15,AA12:AA$15))*Calculator!$C$72*AA$33+AA$37+AA$38</f>
        <v>9539955.0412234515</v>
      </c>
      <c r="AB59" s="245">
        <f>(SUMPRODUCT($C$6:$C10,AB$6:AB10)+Calculator!$G43*1000*AB11+SUMPRODUCT($C12:$C$15,AB12:AB$15))*Calculator!$C$72*AB$33+AB$37+AB$38</f>
        <v>9042611.4134819452</v>
      </c>
      <c r="AC59" s="245">
        <f>(SUMPRODUCT($C$6:$C10,AC$6:AC10)+Calculator!$G43*1000*AC11+SUMPRODUCT($C12:$C$15,AC12:AC$15))*Calculator!$C$72*AC$33+AC$37+AC$38</f>
        <v>8571195.6525895223</v>
      </c>
      <c r="AD59" s="245">
        <f>(SUMPRODUCT($C$6:$C10,AD$6:AD10)+Calculator!$G43*1000*AD11+SUMPRODUCT($C12:$C$15,AD12:AD$15))*Calculator!$C$72*AD$33+AD$37+AD$38</f>
        <v>8124356.0688052336</v>
      </c>
      <c r="AE59" s="245">
        <f>(SUMPRODUCT($C$6:$C10,AE$6:AE10)+Calculator!$G43*1000*AE11+SUMPRODUCT($C12:$C$15,AE12:AE$15))*Calculator!$C$72*AE$33+AE$37+AE$38</f>
        <v>7700811.4396258146</v>
      </c>
      <c r="AF59" s="245">
        <f>(SUMPRODUCT($C$6:$C10,AF$6:AF10)+Calculator!$G43*1000*AF11+SUMPRODUCT($C12:$C$15,AF12:AF$15))*Calculator!$C$72*AF$33+AF$37+AF$38</f>
        <v>7299347.336138214</v>
      </c>
      <c r="AG59" s="245">
        <f>(SUMPRODUCT($C$6:$C10,AG$6:AG10)+Calculator!$G43*1000*AG11+SUMPRODUCT($C12:$C$15,AG12:AG$15))*Calculator!$C$72*AG$33+AG$37+AG$38</f>
        <v>6918812.6408893019</v>
      </c>
      <c r="AH59" s="245">
        <f>(SUMPRODUCT($C$6:$C10,AH$6:AH10)+Calculator!$G43*1000*AH11+SUMPRODUCT($C12:$C$15,AH12:AH$15))*Calculator!$C$72*AH$33+AH$37+AH$38</f>
        <v>6558116.2472884394</v>
      </c>
      <c r="AI59" s="245">
        <f>(SUMPRODUCT($C$6:$C10,AI$6:AI10)+Calculator!$G43*1000*AI11+SUMPRODUCT($C12:$C$15,AI12:AI$15))*Calculator!$C$72*AI$33+AI$37+AI$38</f>
        <v>6216223.9310790878</v>
      </c>
      <c r="AJ59" s="245">
        <f>(SUMPRODUCT($C$6:$C10,AJ$6:AJ10)+Calculator!$G43*1000*AJ11+SUMPRODUCT($C12:$C$15,AJ12:AJ$15))*Calculator!$C$72*AJ$33+AJ$37+AJ$38</f>
        <v>5892155.3849090897</v>
      </c>
      <c r="AK59" s="245">
        <f>(SUMPRODUCT($C$6:$C10,AK$6:AK10)+Calculator!$G43*1000*AK11+SUMPRODUCT($C12:$C$15,AK12:AK$15))*Calculator!$C$72*AK$33+AK$37+AK$38</f>
        <v>5584981.407496768</v>
      </c>
      <c r="AL59" s="245">
        <f>(SUMPRODUCT($C$6:$C10,AL$6:AL10)+Calculator!$G43*1000*AL11+SUMPRODUCT($C12:$C$15,AL12:AL$15))*Calculator!$C$72*AL$33+AL$37+AL$38</f>
        <v>5293821.2393334294</v>
      </c>
      <c r="AM59" s="245">
        <f>(SUMPRODUCT($C$6:$C10,AM$6:AM10)+Calculator!$G43*1000*AM11+SUMPRODUCT($C12:$C$15,AM12:AM$15))*Calculator!$C$72*AM$33+AM$37+AM$38</f>
        <v>5017840.037282872</v>
      </c>
      <c r="AN59" s="245">
        <f>(SUMPRODUCT($C$6:$C10,AN$6:AN10)+Calculator!$G43*1000*AN11+SUMPRODUCT($C12:$C$15,AN12:AN$15))*Calculator!$C$72*AN$33+AN$37+AN$38</f>
        <v>4756246.480836845</v>
      </c>
      <c r="AO59" s="245">
        <f>(SUMPRODUCT($C$6:$C10,AO$6:AO10)+Calculator!$G43*1000*AO11+SUMPRODUCT($C12:$C$15,AO12:AO$15))*Calculator!$C$72*AO$33+AO$37+AO$38</f>
        <v>4508290.5031628869</v>
      </c>
      <c r="AP59" s="245">
        <f>(SUMPRODUCT($C$6:$C10,AP$6:AP10)+Calculator!$G43*1000*AP11+SUMPRODUCT($C12:$C$15,AP12:AP$15))*Calculator!$C$72*AP$33+AP$37+AP$38</f>
        <v>24677688.87375148</v>
      </c>
    </row>
    <row r="60" spans="1:42" x14ac:dyDescent="0.2">
      <c r="A60" s="54" t="str">
        <f>Calculator!B44</f>
        <v>Array cables</v>
      </c>
      <c r="B60" s="152">
        <f>SUM(G60:AP60)/$B$41</f>
        <v>38.870262142982007</v>
      </c>
      <c r="C60" s="154">
        <f>B60/$B$43-1</f>
        <v>0</v>
      </c>
      <c r="F60" s="15" t="str">
        <f t="shared" si="17"/>
        <v>Array cables</v>
      </c>
      <c r="G60" s="245">
        <f>(SUMPRODUCT($C$6:$C11,G$6:G11)+Calculator!$G44*1000*G12+SUMPRODUCT($C13:$C$15,G13:G$15))*Calculator!$C$72*G$33+G$37+G$38</f>
        <v>41700000</v>
      </c>
      <c r="H60" s="245">
        <f>(SUMPRODUCT($C$6:$C11,H$6:H11)+Calculator!$G44*1000*H12+SUMPRODUCT($C13:$C$15,H13:H$15))*Calculator!$C$72*H$33+H$37+H$38</f>
        <v>91304751.385359198</v>
      </c>
      <c r="I60" s="245">
        <f>(SUMPRODUCT($C$6:$C11,I$6:I11)+Calculator!$G44*1000*I12+SUMPRODUCT($C13:$C$15,I13:I$15))*Calculator!$C$72*I$33+I$37+I$38</f>
        <v>329442037.43425798</v>
      </c>
      <c r="J60" s="245">
        <f>(SUMPRODUCT($C$6:$C11,J$6:J11)+Calculator!$G44*1000*J12+SUMPRODUCT($C13:$C$15,J13:J$15))*Calculator!$C$72*J$33+J$37+J$38</f>
        <v>533250006.5613187</v>
      </c>
      <c r="K60" s="245">
        <f>(SUMPRODUCT($C$6:$C11,K$6:K11)+Calculator!$G44*1000*K12+SUMPRODUCT($C13:$C$15,K13:K$15))*Calculator!$C$72*K$33+K$37+K$38</f>
        <v>507583954.42363393</v>
      </c>
      <c r="L60" s="245">
        <f>(SUMPRODUCT($C$6:$C11,L$6:L11)+Calculator!$G44*1000*L12+SUMPRODUCT($C13:$C$15,L13:L$15))*Calculator!$C$72*L$33+L$37+L$38</f>
        <v>47087030.987729959</v>
      </c>
      <c r="M60" s="245">
        <f>(SUMPRODUCT($C$6:$C11,M$6:M11)+Calculator!$G44*1000*M12+SUMPRODUCT($C13:$C$15,M13:M$15))*Calculator!$C$72*M$33+M$37+M$38</f>
        <v>20187417.409041014</v>
      </c>
      <c r="N60" s="245">
        <f>(SUMPRODUCT($C$6:$C11,N$6:N11)+Calculator!$G44*1000*N12+SUMPRODUCT($C13:$C$15,N13:N$15))*Calculator!$C$72*N$33+N$37+N$38</f>
        <v>19134992.804778211</v>
      </c>
      <c r="O60" s="245">
        <f>(SUMPRODUCT($C$6:$C11,O$6:O11)+Calculator!$G44*1000*O12+SUMPRODUCT($C13:$C$15,O13:O$15))*Calculator!$C$72*O$33+O$37+O$38</f>
        <v>18137433.938178401</v>
      </c>
      <c r="P60" s="245">
        <f>(SUMPRODUCT($C$6:$C11,P$6:P11)+Calculator!$G44*1000*P12+SUMPRODUCT($C13:$C$15,P13:P$15))*Calculator!$C$72*P$33+P$37+P$38</f>
        <v>17191880.510121707</v>
      </c>
      <c r="Q60" s="245">
        <f>(SUMPRODUCT($C$6:$C11,Q$6:Q11)+Calculator!$G44*1000*Q12+SUMPRODUCT($C13:$C$15,Q13:Q$15))*Calculator!$C$72*Q$33+Q$37+Q$38</f>
        <v>16295621.336608255</v>
      </c>
      <c r="R60" s="245">
        <f>(SUMPRODUCT($C$6:$C11,R$6:R11)+Calculator!$G44*1000*R12+SUMPRODUCT($C13:$C$15,R13:R$15))*Calculator!$C$72*R$33+R$37+R$38</f>
        <v>15446086.574984128</v>
      </c>
      <c r="S60" s="245">
        <f>(SUMPRODUCT($C$6:$C11,S$6:S11)+Calculator!$G44*1000*S12+SUMPRODUCT($C13:$C$15,S13:S$15))*Calculator!$C$72*S$33+S$37+S$38</f>
        <v>14640840.355435194</v>
      </c>
      <c r="T60" s="245">
        <f>(SUMPRODUCT($C$6:$C11,T$6:T11)+Calculator!$G44*1000*T12+SUMPRODUCT($C13:$C$15,T13:T$15))*Calculator!$C$72*T$33+T$37+T$38</f>
        <v>13877573.796621038</v>
      </c>
      <c r="U60" s="245">
        <f>(SUMPRODUCT($C$6:$C11,U$6:U11)+Calculator!$G44*1000*U12+SUMPRODUCT($C13:$C$15,U13:U$15))*Calculator!$C$72*U$33+U$37+U$38</f>
        <v>13154098.385422789</v>
      </c>
      <c r="V60" s="245">
        <f>(SUMPRODUCT($C$6:$C11,V$6:V11)+Calculator!$G44*1000*V12+SUMPRODUCT($C13:$C$15,V13:V$15))*Calculator!$C$72*V$33+V$37+V$38</f>
        <v>12468339.701822547</v>
      </c>
      <c r="W60" s="245">
        <f>(SUMPRODUCT($C$6:$C11,W$6:W11)+Calculator!$G44*1000*W12+SUMPRODUCT($C13:$C$15,W13:W$15))*Calculator!$C$72*W$33+W$37+W$38</f>
        <v>11818331.470921846</v>
      </c>
      <c r="X60" s="245">
        <f>(SUMPRODUCT($C$6:$C11,X$6:X11)+Calculator!$G44*1000*X12+SUMPRODUCT($C13:$C$15,X13:X$15))*Calculator!$C$72*X$33+X$37+X$38</f>
        <v>11202209.925044406</v>
      </c>
      <c r="Y60" s="245">
        <f>(SUMPRODUCT($C$6:$C11,Y$6:Y11)+Calculator!$G44*1000*Y12+SUMPRODUCT($C13:$C$15,Y13:Y$15))*Calculator!$C$72*Y$33+Y$37+Y$38</f>
        <v>10618208.45975773</v>
      </c>
      <c r="Z60" s="245">
        <f>(SUMPRODUCT($C$6:$C11,Z$6:Z11)+Calculator!$G44*1000*Z12+SUMPRODUCT($C13:$C$15,Z13:Z$15))*Calculator!$C$72*Z$33+Z$37+Z$38</f>
        <v>10064652.56849074</v>
      </c>
      <c r="AA60" s="245">
        <f>(SUMPRODUCT($C$6:$C11,AA$6:AA11)+Calculator!$G44*1000*AA12+SUMPRODUCT($C13:$C$15,AA13:AA$15))*Calculator!$C$72*AA$33+AA$37+AA$38</f>
        <v>9539955.0412234515</v>
      </c>
      <c r="AB60" s="245">
        <f>(SUMPRODUCT($C$6:$C11,AB$6:AB11)+Calculator!$G44*1000*AB12+SUMPRODUCT($C13:$C$15,AB13:AB$15))*Calculator!$C$72*AB$33+AB$37+AB$38</f>
        <v>9042611.4134819452</v>
      </c>
      <c r="AC60" s="245">
        <f>(SUMPRODUCT($C$6:$C11,AC$6:AC11)+Calculator!$G44*1000*AC12+SUMPRODUCT($C13:$C$15,AC13:AC$15))*Calculator!$C$72*AC$33+AC$37+AC$38</f>
        <v>8571195.6525895223</v>
      </c>
      <c r="AD60" s="245">
        <f>(SUMPRODUCT($C$6:$C11,AD$6:AD11)+Calculator!$G44*1000*AD12+SUMPRODUCT($C13:$C$15,AD13:AD$15))*Calculator!$C$72*AD$33+AD$37+AD$38</f>
        <v>8124356.0688052336</v>
      </c>
      <c r="AE60" s="245">
        <f>(SUMPRODUCT($C$6:$C11,AE$6:AE11)+Calculator!$G44*1000*AE12+SUMPRODUCT($C13:$C$15,AE13:AE$15))*Calculator!$C$72*AE$33+AE$37+AE$38</f>
        <v>7700811.4396258146</v>
      </c>
      <c r="AF60" s="245">
        <f>(SUMPRODUCT($C$6:$C11,AF$6:AF11)+Calculator!$G44*1000*AF12+SUMPRODUCT($C13:$C$15,AF13:AF$15))*Calculator!$C$72*AF$33+AF$37+AF$38</f>
        <v>7299347.336138214</v>
      </c>
      <c r="AG60" s="245">
        <f>(SUMPRODUCT($C$6:$C11,AG$6:AG11)+Calculator!$G44*1000*AG12+SUMPRODUCT($C13:$C$15,AG13:AG$15))*Calculator!$C$72*AG$33+AG$37+AG$38</f>
        <v>6918812.6408893019</v>
      </c>
      <c r="AH60" s="245">
        <f>(SUMPRODUCT($C$6:$C11,AH$6:AH11)+Calculator!$G44*1000*AH12+SUMPRODUCT($C13:$C$15,AH13:AH$15))*Calculator!$C$72*AH$33+AH$37+AH$38</f>
        <v>6558116.2472884394</v>
      </c>
      <c r="AI60" s="245">
        <f>(SUMPRODUCT($C$6:$C11,AI$6:AI11)+Calculator!$G44*1000*AI12+SUMPRODUCT($C13:$C$15,AI13:AI$15))*Calculator!$C$72*AI$33+AI$37+AI$38</f>
        <v>6216223.9310790878</v>
      </c>
      <c r="AJ60" s="245">
        <f>(SUMPRODUCT($C$6:$C11,AJ$6:AJ11)+Calculator!$G44*1000*AJ12+SUMPRODUCT($C13:$C$15,AJ13:AJ$15))*Calculator!$C$72*AJ$33+AJ$37+AJ$38</f>
        <v>5892155.3849090897</v>
      </c>
      <c r="AK60" s="245">
        <f>(SUMPRODUCT($C$6:$C11,AK$6:AK11)+Calculator!$G44*1000*AK12+SUMPRODUCT($C13:$C$15,AK13:AK$15))*Calculator!$C$72*AK$33+AK$37+AK$38</f>
        <v>5584981.407496768</v>
      </c>
      <c r="AL60" s="245">
        <f>(SUMPRODUCT($C$6:$C11,AL$6:AL11)+Calculator!$G44*1000*AL12+SUMPRODUCT($C13:$C$15,AL13:AL$15))*Calculator!$C$72*AL$33+AL$37+AL$38</f>
        <v>5293821.2393334294</v>
      </c>
      <c r="AM60" s="245">
        <f>(SUMPRODUCT($C$6:$C11,AM$6:AM11)+Calculator!$G44*1000*AM12+SUMPRODUCT($C13:$C$15,AM13:AM$15))*Calculator!$C$72*AM$33+AM$37+AM$38</f>
        <v>5017840.037282872</v>
      </c>
      <c r="AN60" s="245">
        <f>(SUMPRODUCT($C$6:$C11,AN$6:AN11)+Calculator!$G44*1000*AN12+SUMPRODUCT($C13:$C$15,AN13:AN$15))*Calculator!$C$72*AN$33+AN$37+AN$38</f>
        <v>4756246.480836845</v>
      </c>
      <c r="AO60" s="245">
        <f>(SUMPRODUCT($C$6:$C11,AO$6:AO11)+Calculator!$G44*1000*AO12+SUMPRODUCT($C13:$C$15,AO13:AO$15))*Calculator!$C$72*AO$33+AO$37+AO$38</f>
        <v>4508290.5031628869</v>
      </c>
      <c r="AP60" s="245">
        <f>(SUMPRODUCT($C$6:$C11,AP$6:AP11)+Calculator!$G44*1000*AP12+SUMPRODUCT($C13:$C$15,AP13:AP$15))*Calculator!$C$72*AP$33+AP$37+AP$38</f>
        <v>24677688.87375148</v>
      </c>
    </row>
    <row r="61" spans="1:42" x14ac:dyDescent="0.2">
      <c r="A61" s="54" t="str">
        <f>Calculator!B45</f>
        <v xml:space="preserve">Installation </v>
      </c>
      <c r="B61" s="152">
        <f>SUM(G61:AP61)/$B$41</f>
        <v>38.870262142982007</v>
      </c>
      <c r="C61" s="154">
        <f>B61/$B$43-1</f>
        <v>0</v>
      </c>
      <c r="F61" s="15" t="str">
        <f t="shared" si="17"/>
        <v xml:space="preserve">Installation </v>
      </c>
      <c r="G61" s="245">
        <f>(SUMPRODUCT($C$6:$C12,G$6:G12)+Calculator!$G45*1000*G13+SUMPRODUCT($C14:$C$15,G14:G$15))*Calculator!$C$72*G$33+G$37+G$38</f>
        <v>41700000</v>
      </c>
      <c r="H61" s="245">
        <f>(SUMPRODUCT($C$6:$C12,H$6:H12)+Calculator!$G45*1000*H13+SUMPRODUCT($C14:$C$15,H14:H$15))*Calculator!$C$72*H$33+H$37+H$38</f>
        <v>91304751.385359198</v>
      </c>
      <c r="I61" s="245">
        <f>(SUMPRODUCT($C$6:$C12,I$6:I12)+Calculator!$G45*1000*I13+SUMPRODUCT($C14:$C$15,I14:I$15))*Calculator!$C$72*I$33+I$37+I$38</f>
        <v>329442037.43425798</v>
      </c>
      <c r="J61" s="245">
        <f>(SUMPRODUCT($C$6:$C12,J$6:J12)+Calculator!$G45*1000*J13+SUMPRODUCT($C14:$C$15,J14:J$15))*Calculator!$C$72*J$33+J$37+J$38</f>
        <v>533250006.5613187</v>
      </c>
      <c r="K61" s="245">
        <f>(SUMPRODUCT($C$6:$C12,K$6:K12)+Calculator!$G45*1000*K13+SUMPRODUCT($C14:$C$15,K14:K$15))*Calculator!$C$72*K$33+K$37+K$38</f>
        <v>507583954.42363393</v>
      </c>
      <c r="L61" s="245">
        <f>(SUMPRODUCT($C$6:$C12,L$6:L12)+Calculator!$G45*1000*L13+SUMPRODUCT($C14:$C$15,L14:L$15))*Calculator!$C$72*L$33+L$37+L$38</f>
        <v>47087030.987729959</v>
      </c>
      <c r="M61" s="245">
        <f>(SUMPRODUCT($C$6:$C12,M$6:M12)+Calculator!$G45*1000*M13+SUMPRODUCT($C14:$C$15,M14:M$15))*Calculator!$C$72*M$33+M$37+M$38</f>
        <v>20187417.409041014</v>
      </c>
      <c r="N61" s="245">
        <f>(SUMPRODUCT($C$6:$C12,N$6:N12)+Calculator!$G45*1000*N13+SUMPRODUCT($C14:$C$15,N14:N$15))*Calculator!$C$72*N$33+N$37+N$38</f>
        <v>19134992.804778211</v>
      </c>
      <c r="O61" s="245">
        <f>(SUMPRODUCT($C$6:$C12,O$6:O12)+Calculator!$G45*1000*O13+SUMPRODUCT($C14:$C$15,O14:O$15))*Calculator!$C$72*O$33+O$37+O$38</f>
        <v>18137433.938178401</v>
      </c>
      <c r="P61" s="245">
        <f>(SUMPRODUCT($C$6:$C12,P$6:P12)+Calculator!$G45*1000*P13+SUMPRODUCT($C14:$C$15,P14:P$15))*Calculator!$C$72*P$33+P$37+P$38</f>
        <v>17191880.510121707</v>
      </c>
      <c r="Q61" s="245">
        <f>(SUMPRODUCT($C$6:$C12,Q$6:Q12)+Calculator!$G45*1000*Q13+SUMPRODUCT($C14:$C$15,Q14:Q$15))*Calculator!$C$72*Q$33+Q$37+Q$38</f>
        <v>16295621.336608255</v>
      </c>
      <c r="R61" s="245">
        <f>(SUMPRODUCT($C$6:$C12,R$6:R12)+Calculator!$G45*1000*R13+SUMPRODUCT($C14:$C$15,R14:R$15))*Calculator!$C$72*R$33+R$37+R$38</f>
        <v>15446086.574984128</v>
      </c>
      <c r="S61" s="245">
        <f>(SUMPRODUCT($C$6:$C12,S$6:S12)+Calculator!$G45*1000*S13+SUMPRODUCT($C14:$C$15,S14:S$15))*Calculator!$C$72*S$33+S$37+S$38</f>
        <v>14640840.355435194</v>
      </c>
      <c r="T61" s="245">
        <f>(SUMPRODUCT($C$6:$C12,T$6:T12)+Calculator!$G45*1000*T13+SUMPRODUCT($C14:$C$15,T14:T$15))*Calculator!$C$72*T$33+T$37+T$38</f>
        <v>13877573.796621038</v>
      </c>
      <c r="U61" s="245">
        <f>(SUMPRODUCT($C$6:$C12,U$6:U12)+Calculator!$G45*1000*U13+SUMPRODUCT($C14:$C$15,U14:U$15))*Calculator!$C$72*U$33+U$37+U$38</f>
        <v>13154098.385422789</v>
      </c>
      <c r="V61" s="245">
        <f>(SUMPRODUCT($C$6:$C12,V$6:V12)+Calculator!$G45*1000*V13+SUMPRODUCT($C14:$C$15,V14:V$15))*Calculator!$C$72*V$33+V$37+V$38</f>
        <v>12468339.701822547</v>
      </c>
      <c r="W61" s="245">
        <f>(SUMPRODUCT($C$6:$C12,W$6:W12)+Calculator!$G45*1000*W13+SUMPRODUCT($C14:$C$15,W14:W$15))*Calculator!$C$72*W$33+W$37+W$38</f>
        <v>11818331.470921846</v>
      </c>
      <c r="X61" s="245">
        <f>(SUMPRODUCT($C$6:$C12,X$6:X12)+Calculator!$G45*1000*X13+SUMPRODUCT($C14:$C$15,X14:X$15))*Calculator!$C$72*X$33+X$37+X$38</f>
        <v>11202209.925044406</v>
      </c>
      <c r="Y61" s="245">
        <f>(SUMPRODUCT($C$6:$C12,Y$6:Y12)+Calculator!$G45*1000*Y13+SUMPRODUCT($C14:$C$15,Y14:Y$15))*Calculator!$C$72*Y$33+Y$37+Y$38</f>
        <v>10618208.45975773</v>
      </c>
      <c r="Z61" s="245">
        <f>(SUMPRODUCT($C$6:$C12,Z$6:Z12)+Calculator!$G45*1000*Z13+SUMPRODUCT($C14:$C$15,Z14:Z$15))*Calculator!$C$72*Z$33+Z$37+Z$38</f>
        <v>10064652.56849074</v>
      </c>
      <c r="AA61" s="245">
        <f>(SUMPRODUCT($C$6:$C12,AA$6:AA12)+Calculator!$G45*1000*AA13+SUMPRODUCT($C14:$C$15,AA14:AA$15))*Calculator!$C$72*AA$33+AA$37+AA$38</f>
        <v>9539955.0412234515</v>
      </c>
      <c r="AB61" s="245">
        <f>(SUMPRODUCT($C$6:$C12,AB$6:AB12)+Calculator!$G45*1000*AB13+SUMPRODUCT($C14:$C$15,AB14:AB$15))*Calculator!$C$72*AB$33+AB$37+AB$38</f>
        <v>9042611.4134819452</v>
      </c>
      <c r="AC61" s="245">
        <f>(SUMPRODUCT($C$6:$C12,AC$6:AC12)+Calculator!$G45*1000*AC13+SUMPRODUCT($C14:$C$15,AC14:AC$15))*Calculator!$C$72*AC$33+AC$37+AC$38</f>
        <v>8571195.6525895223</v>
      </c>
      <c r="AD61" s="245">
        <f>(SUMPRODUCT($C$6:$C12,AD$6:AD12)+Calculator!$G45*1000*AD13+SUMPRODUCT($C14:$C$15,AD14:AD$15))*Calculator!$C$72*AD$33+AD$37+AD$38</f>
        <v>8124356.0688052336</v>
      </c>
      <c r="AE61" s="245">
        <f>(SUMPRODUCT($C$6:$C12,AE$6:AE12)+Calculator!$G45*1000*AE13+SUMPRODUCT($C14:$C$15,AE14:AE$15))*Calculator!$C$72*AE$33+AE$37+AE$38</f>
        <v>7700811.4396258146</v>
      </c>
      <c r="AF61" s="245">
        <f>(SUMPRODUCT($C$6:$C12,AF$6:AF12)+Calculator!$G45*1000*AF13+SUMPRODUCT($C14:$C$15,AF14:AF$15))*Calculator!$C$72*AF$33+AF$37+AF$38</f>
        <v>7299347.336138214</v>
      </c>
      <c r="AG61" s="245">
        <f>(SUMPRODUCT($C$6:$C12,AG$6:AG12)+Calculator!$G45*1000*AG13+SUMPRODUCT($C14:$C$15,AG14:AG$15))*Calculator!$C$72*AG$33+AG$37+AG$38</f>
        <v>6918812.6408893019</v>
      </c>
      <c r="AH61" s="245">
        <f>(SUMPRODUCT($C$6:$C12,AH$6:AH12)+Calculator!$G45*1000*AH13+SUMPRODUCT($C14:$C$15,AH14:AH$15))*Calculator!$C$72*AH$33+AH$37+AH$38</f>
        <v>6558116.2472884394</v>
      </c>
      <c r="AI61" s="245">
        <f>(SUMPRODUCT($C$6:$C12,AI$6:AI12)+Calculator!$G45*1000*AI13+SUMPRODUCT($C14:$C$15,AI14:AI$15))*Calculator!$C$72*AI$33+AI$37+AI$38</f>
        <v>6216223.9310790878</v>
      </c>
      <c r="AJ61" s="245">
        <f>(SUMPRODUCT($C$6:$C12,AJ$6:AJ12)+Calculator!$G45*1000*AJ13+SUMPRODUCT($C14:$C$15,AJ14:AJ$15))*Calculator!$C$72*AJ$33+AJ$37+AJ$38</f>
        <v>5892155.3849090897</v>
      </c>
      <c r="AK61" s="245">
        <f>(SUMPRODUCT($C$6:$C12,AK$6:AK12)+Calculator!$G45*1000*AK13+SUMPRODUCT($C14:$C$15,AK14:AK$15))*Calculator!$C$72*AK$33+AK$37+AK$38</f>
        <v>5584981.407496768</v>
      </c>
      <c r="AL61" s="245">
        <f>(SUMPRODUCT($C$6:$C12,AL$6:AL12)+Calculator!$G45*1000*AL13+SUMPRODUCT($C14:$C$15,AL14:AL$15))*Calculator!$C$72*AL$33+AL$37+AL$38</f>
        <v>5293821.2393334294</v>
      </c>
      <c r="AM61" s="245">
        <f>(SUMPRODUCT($C$6:$C12,AM$6:AM12)+Calculator!$G45*1000*AM13+SUMPRODUCT($C14:$C$15,AM14:AM$15))*Calculator!$C$72*AM$33+AM$37+AM$38</f>
        <v>5017840.037282872</v>
      </c>
      <c r="AN61" s="245">
        <f>(SUMPRODUCT($C$6:$C12,AN$6:AN12)+Calculator!$G45*1000*AN13+SUMPRODUCT($C14:$C$15,AN14:AN$15))*Calculator!$C$72*AN$33+AN$37+AN$38</f>
        <v>4756246.480836845</v>
      </c>
      <c r="AO61" s="245">
        <f>(SUMPRODUCT($C$6:$C12,AO$6:AO12)+Calculator!$G45*1000*AO13+SUMPRODUCT($C14:$C$15,AO14:AO$15))*Calculator!$C$72*AO$33+AO$37+AO$38</f>
        <v>4508290.5031628869</v>
      </c>
      <c r="AP61" s="245">
        <f>(SUMPRODUCT($C$6:$C12,AP$6:AP12)+Calculator!$G45*1000*AP13+SUMPRODUCT($C14:$C$15,AP14:AP$15))*Calculator!$C$72*AP$33+AP$37+AP$38</f>
        <v>24677688.87375148</v>
      </c>
    </row>
    <row r="62" spans="1:42" x14ac:dyDescent="0.2">
      <c r="A62" s="54" t="str">
        <f>Calculator!B46</f>
        <v>Transmission supply and installation</v>
      </c>
      <c r="B62" s="152">
        <f>SUM(G62:AP62)/$B$41</f>
        <v>38.870262142982007</v>
      </c>
      <c r="C62" s="154">
        <f>B62/$B$43-1</f>
        <v>0</v>
      </c>
      <c r="F62" s="15" t="str">
        <f t="shared" si="17"/>
        <v>Transmission build</v>
      </c>
      <c r="G62" s="245">
        <f>(SUMPRODUCT($C$6:$C13,G$6:G13)+Calculator!$G46*1000*G14+SUMPRODUCT($C15:$C$15,G15:G$15))*Calculator!$C$72*G$33+G$37+G$38</f>
        <v>41700000</v>
      </c>
      <c r="H62" s="245">
        <f>(SUMPRODUCT($C$6:$C13,H$6:H13)+Calculator!$G46*1000*H14+SUMPRODUCT($C15:$C$15,H15:H$15))*Calculator!$C$72*H$33+H$37+H$38</f>
        <v>91304751.385359198</v>
      </c>
      <c r="I62" s="245">
        <f>(SUMPRODUCT($C$6:$C13,I$6:I13)+Calculator!$G46*1000*I14+SUMPRODUCT($C15:$C$15,I15:I$15))*Calculator!$C$72*I$33+I$37+I$38</f>
        <v>329442037.43425792</v>
      </c>
      <c r="J62" s="245">
        <f>(SUMPRODUCT($C$6:$C13,J$6:J13)+Calculator!$G46*1000*J14+SUMPRODUCT($C15:$C$15,J15:J$15))*Calculator!$C$72*J$33+J$37+J$38</f>
        <v>533250006.56131881</v>
      </c>
      <c r="K62" s="245">
        <f>(SUMPRODUCT($C$6:$C13,K$6:K13)+Calculator!$G46*1000*K14+SUMPRODUCT($C15:$C$15,K15:K$15))*Calculator!$C$72*K$33+K$37+K$38</f>
        <v>507583954.42363393</v>
      </c>
      <c r="L62" s="245">
        <f>(SUMPRODUCT($C$6:$C13,L$6:L13)+Calculator!$G46*1000*L14+SUMPRODUCT($C15:$C$15,L15:L$15))*Calculator!$C$72*L$33+L$37+L$38</f>
        <v>47087030.987729959</v>
      </c>
      <c r="M62" s="245">
        <f>(SUMPRODUCT($C$6:$C13,M$6:M13)+Calculator!$G46*1000*M14+SUMPRODUCT($C15:$C$15,M15:M$15))*Calculator!$C$72*M$33+M$37+M$38</f>
        <v>20187417.409041014</v>
      </c>
      <c r="N62" s="245">
        <f>(SUMPRODUCT($C$6:$C13,N$6:N13)+Calculator!$G46*1000*N14+SUMPRODUCT($C15:$C$15,N15:N$15))*Calculator!$C$72*N$33+N$37+N$38</f>
        <v>19134992.804778211</v>
      </c>
      <c r="O62" s="245">
        <f>(SUMPRODUCT($C$6:$C13,O$6:O13)+Calculator!$G46*1000*O14+SUMPRODUCT($C15:$C$15,O15:O$15))*Calculator!$C$72*O$33+O$37+O$38</f>
        <v>18137433.938178401</v>
      </c>
      <c r="P62" s="245">
        <f>(SUMPRODUCT($C$6:$C13,P$6:P13)+Calculator!$G46*1000*P14+SUMPRODUCT($C15:$C$15,P15:P$15))*Calculator!$C$72*P$33+P$37+P$38</f>
        <v>17191880.510121707</v>
      </c>
      <c r="Q62" s="245">
        <f>(SUMPRODUCT($C$6:$C13,Q$6:Q13)+Calculator!$G46*1000*Q14+SUMPRODUCT($C15:$C$15,Q15:Q$15))*Calculator!$C$72*Q$33+Q$37+Q$38</f>
        <v>16295621.336608255</v>
      </c>
      <c r="R62" s="245">
        <f>(SUMPRODUCT($C$6:$C13,R$6:R13)+Calculator!$G46*1000*R14+SUMPRODUCT($C15:$C$15,R15:R$15))*Calculator!$C$72*R$33+R$37+R$38</f>
        <v>15446086.574984128</v>
      </c>
      <c r="S62" s="245">
        <f>(SUMPRODUCT($C$6:$C13,S$6:S13)+Calculator!$G46*1000*S14+SUMPRODUCT($C15:$C$15,S15:S$15))*Calculator!$C$72*S$33+S$37+S$38</f>
        <v>14640840.355435194</v>
      </c>
      <c r="T62" s="245">
        <f>(SUMPRODUCT($C$6:$C13,T$6:T13)+Calculator!$G46*1000*T14+SUMPRODUCT($C15:$C$15,T15:T$15))*Calculator!$C$72*T$33+T$37+T$38</f>
        <v>13877573.796621038</v>
      </c>
      <c r="U62" s="245">
        <f>(SUMPRODUCT($C$6:$C13,U$6:U13)+Calculator!$G46*1000*U14+SUMPRODUCT($C15:$C$15,U15:U$15))*Calculator!$C$72*U$33+U$37+U$38</f>
        <v>13154098.385422789</v>
      </c>
      <c r="V62" s="245">
        <f>(SUMPRODUCT($C$6:$C13,V$6:V13)+Calculator!$G46*1000*V14+SUMPRODUCT($C15:$C$15,V15:V$15))*Calculator!$C$72*V$33+V$37+V$38</f>
        <v>12468339.701822547</v>
      </c>
      <c r="W62" s="245">
        <f>(SUMPRODUCT($C$6:$C13,W$6:W13)+Calculator!$G46*1000*W14+SUMPRODUCT($C15:$C$15,W15:W$15))*Calculator!$C$72*W$33+W$37+W$38</f>
        <v>11818331.470921846</v>
      </c>
      <c r="X62" s="245">
        <f>(SUMPRODUCT($C$6:$C13,X$6:X13)+Calculator!$G46*1000*X14+SUMPRODUCT($C15:$C$15,X15:X$15))*Calculator!$C$72*X$33+X$37+X$38</f>
        <v>11202209.925044406</v>
      </c>
      <c r="Y62" s="245">
        <f>(SUMPRODUCT($C$6:$C13,Y$6:Y13)+Calculator!$G46*1000*Y14+SUMPRODUCT($C15:$C$15,Y15:Y$15))*Calculator!$C$72*Y$33+Y$37+Y$38</f>
        <v>10618208.45975773</v>
      </c>
      <c r="Z62" s="245">
        <f>(SUMPRODUCT($C$6:$C13,Z$6:Z13)+Calculator!$G46*1000*Z14+SUMPRODUCT($C15:$C$15,Z15:Z$15))*Calculator!$C$72*Z$33+Z$37+Z$38</f>
        <v>10064652.56849074</v>
      </c>
      <c r="AA62" s="245">
        <f>(SUMPRODUCT($C$6:$C13,AA$6:AA13)+Calculator!$G46*1000*AA14+SUMPRODUCT($C15:$C$15,AA15:AA$15))*Calculator!$C$72*AA$33+AA$37+AA$38</f>
        <v>9539955.0412234515</v>
      </c>
      <c r="AB62" s="245">
        <f>(SUMPRODUCT($C$6:$C13,AB$6:AB13)+Calculator!$G46*1000*AB14+SUMPRODUCT($C15:$C$15,AB15:AB$15))*Calculator!$C$72*AB$33+AB$37+AB$38</f>
        <v>9042611.4134819452</v>
      </c>
      <c r="AC62" s="245">
        <f>(SUMPRODUCT($C$6:$C13,AC$6:AC13)+Calculator!$G46*1000*AC14+SUMPRODUCT($C15:$C$15,AC15:AC$15))*Calculator!$C$72*AC$33+AC$37+AC$38</f>
        <v>8571195.6525895223</v>
      </c>
      <c r="AD62" s="245">
        <f>(SUMPRODUCT($C$6:$C13,AD$6:AD13)+Calculator!$G46*1000*AD14+SUMPRODUCT($C15:$C$15,AD15:AD$15))*Calculator!$C$72*AD$33+AD$37+AD$38</f>
        <v>8124356.0688052336</v>
      </c>
      <c r="AE62" s="245">
        <f>(SUMPRODUCT($C$6:$C13,AE$6:AE13)+Calculator!$G46*1000*AE14+SUMPRODUCT($C15:$C$15,AE15:AE$15))*Calculator!$C$72*AE$33+AE$37+AE$38</f>
        <v>7700811.4396258146</v>
      </c>
      <c r="AF62" s="245">
        <f>(SUMPRODUCT($C$6:$C13,AF$6:AF13)+Calculator!$G46*1000*AF14+SUMPRODUCT($C15:$C$15,AF15:AF$15))*Calculator!$C$72*AF$33+AF$37+AF$38</f>
        <v>7299347.336138214</v>
      </c>
      <c r="AG62" s="245">
        <f>(SUMPRODUCT($C$6:$C13,AG$6:AG13)+Calculator!$G46*1000*AG14+SUMPRODUCT($C15:$C$15,AG15:AG$15))*Calculator!$C$72*AG$33+AG$37+AG$38</f>
        <v>6918812.6408893019</v>
      </c>
      <c r="AH62" s="245">
        <f>(SUMPRODUCT($C$6:$C13,AH$6:AH13)+Calculator!$G46*1000*AH14+SUMPRODUCT($C15:$C$15,AH15:AH$15))*Calculator!$C$72*AH$33+AH$37+AH$38</f>
        <v>6558116.2472884394</v>
      </c>
      <c r="AI62" s="245">
        <f>(SUMPRODUCT($C$6:$C13,AI$6:AI13)+Calculator!$G46*1000*AI14+SUMPRODUCT($C15:$C$15,AI15:AI$15))*Calculator!$C$72*AI$33+AI$37+AI$38</f>
        <v>6216223.9310790878</v>
      </c>
      <c r="AJ62" s="245">
        <f>(SUMPRODUCT($C$6:$C13,AJ$6:AJ13)+Calculator!$G46*1000*AJ14+SUMPRODUCT($C15:$C$15,AJ15:AJ$15))*Calculator!$C$72*AJ$33+AJ$37+AJ$38</f>
        <v>5892155.3849090897</v>
      </c>
      <c r="AK62" s="245">
        <f>(SUMPRODUCT($C$6:$C13,AK$6:AK13)+Calculator!$G46*1000*AK14+SUMPRODUCT($C15:$C$15,AK15:AK$15))*Calculator!$C$72*AK$33+AK$37+AK$38</f>
        <v>5584981.407496768</v>
      </c>
      <c r="AL62" s="245">
        <f>(SUMPRODUCT($C$6:$C13,AL$6:AL13)+Calculator!$G46*1000*AL14+SUMPRODUCT($C15:$C$15,AL15:AL$15))*Calculator!$C$72*AL$33+AL$37+AL$38</f>
        <v>5293821.2393334294</v>
      </c>
      <c r="AM62" s="245">
        <f>(SUMPRODUCT($C$6:$C13,AM$6:AM13)+Calculator!$G46*1000*AM14+SUMPRODUCT($C15:$C$15,AM15:AM$15))*Calculator!$C$72*AM$33+AM$37+AM$38</f>
        <v>5017840.037282872</v>
      </c>
      <c r="AN62" s="245">
        <f>(SUMPRODUCT($C$6:$C13,AN$6:AN13)+Calculator!$G46*1000*AN14+SUMPRODUCT($C15:$C$15,AN15:AN$15))*Calculator!$C$72*AN$33+AN$37+AN$38</f>
        <v>4756246.480836845</v>
      </c>
      <c r="AO62" s="245">
        <f>(SUMPRODUCT($C$6:$C13,AO$6:AO13)+Calculator!$G46*1000*AO14+SUMPRODUCT($C15:$C$15,AO15:AO$15))*Calculator!$C$72*AO$33+AO$37+AO$38</f>
        <v>4508290.5031628869</v>
      </c>
      <c r="AP62" s="245">
        <f>(SUMPRODUCT($C$6:$C13,AP$6:AP13)+Calculator!$G46*1000*AP14+SUMPRODUCT($C15:$C$15,AP15:AP$15))*Calculator!$C$72*AP$33+AP$37+AP$38</f>
        <v>24677688.87375148</v>
      </c>
    </row>
    <row r="63" spans="1:42" x14ac:dyDescent="0.2">
      <c r="A63" s="54" t="str">
        <f>Calculator!B48</f>
        <v>Construction contingency</v>
      </c>
      <c r="B63" s="152">
        <f>SUM(G63:AP63)/$B$41</f>
        <v>38.870262142982007</v>
      </c>
      <c r="C63" s="154">
        <f>B63/$B$43-1</f>
        <v>0</v>
      </c>
      <c r="F63" s="15" t="str">
        <f t="shared" si="17"/>
        <v>Contingency</v>
      </c>
      <c r="G63" s="245">
        <f>(SUMPRODUCT($C$6:$C14,G$6:G14)+Calculator!$G48*1000*G15)*Calculator!$C$72*G$33+G$37+G$38</f>
        <v>41700000</v>
      </c>
      <c r="H63" s="245">
        <f>(SUMPRODUCT($C$6:$C14,H$6:H14)+Calculator!$G48*1000*H15)*Calculator!$C$72*H$33+H$37+H$38</f>
        <v>91304751.385359198</v>
      </c>
      <c r="I63" s="245">
        <f>(SUMPRODUCT($C$6:$C14,I$6:I14)+Calculator!$G48*1000*I15)*Calculator!$C$72*I$33+I$37+I$38</f>
        <v>329442037.43425792</v>
      </c>
      <c r="J63" s="245">
        <f>(SUMPRODUCT($C$6:$C14,J$6:J14)+Calculator!$G48*1000*J15)*Calculator!$C$72*J$33+J$37+J$38</f>
        <v>533250006.56131881</v>
      </c>
      <c r="K63" s="245">
        <f>(SUMPRODUCT($C$6:$C14,K$6:K14)+Calculator!$G48*1000*K15)*Calculator!$C$72*K$33+K$37+K$38</f>
        <v>507583954.42363393</v>
      </c>
      <c r="L63" s="245">
        <f>(SUMPRODUCT($C$6:$C14,L$6:L14)+Calculator!$G48*1000*L15)*Calculator!$C$72*L$33+L$37+L$38</f>
        <v>47087030.987729959</v>
      </c>
      <c r="M63" s="245">
        <f>(SUMPRODUCT($C$6:$C14,M$6:M14)+Calculator!$G48*1000*M15)*Calculator!$C$72*M$33+M$37+M$38</f>
        <v>20187417.409041014</v>
      </c>
      <c r="N63" s="245">
        <f>(SUMPRODUCT($C$6:$C14,N$6:N14)+Calculator!$G48*1000*N15)*Calculator!$C$72*N$33+N$37+N$38</f>
        <v>19134992.804778211</v>
      </c>
      <c r="O63" s="245">
        <f>(SUMPRODUCT($C$6:$C14,O$6:O14)+Calculator!$G48*1000*O15)*Calculator!$C$72*O$33+O$37+O$38</f>
        <v>18137433.938178401</v>
      </c>
      <c r="P63" s="245">
        <f>(SUMPRODUCT($C$6:$C14,P$6:P14)+Calculator!$G48*1000*P15)*Calculator!$C$72*P$33+P$37+P$38</f>
        <v>17191880.510121707</v>
      </c>
      <c r="Q63" s="245">
        <f>(SUMPRODUCT($C$6:$C14,Q$6:Q14)+Calculator!$G48*1000*Q15)*Calculator!$C$72*Q$33+Q$37+Q$38</f>
        <v>16295621.336608255</v>
      </c>
      <c r="R63" s="245">
        <f>(SUMPRODUCT($C$6:$C14,R$6:R14)+Calculator!$G48*1000*R15)*Calculator!$C$72*R$33+R$37+R$38</f>
        <v>15446086.574984128</v>
      </c>
      <c r="S63" s="245">
        <f>(SUMPRODUCT($C$6:$C14,S$6:S14)+Calculator!$G48*1000*S15)*Calculator!$C$72*S$33+S$37+S$38</f>
        <v>14640840.355435194</v>
      </c>
      <c r="T63" s="245">
        <f>(SUMPRODUCT($C$6:$C14,T$6:T14)+Calculator!$G48*1000*T15)*Calculator!$C$72*T$33+T$37+T$38</f>
        <v>13877573.796621038</v>
      </c>
      <c r="U63" s="245">
        <f>(SUMPRODUCT($C$6:$C14,U$6:U14)+Calculator!$G48*1000*U15)*Calculator!$C$72*U$33+U$37+U$38</f>
        <v>13154098.385422789</v>
      </c>
      <c r="V63" s="245">
        <f>(SUMPRODUCT($C$6:$C14,V$6:V14)+Calculator!$G48*1000*V15)*Calculator!$C$72*V$33+V$37+V$38</f>
        <v>12468339.701822547</v>
      </c>
      <c r="W63" s="245">
        <f>(SUMPRODUCT($C$6:$C14,W$6:W14)+Calculator!$G48*1000*W15)*Calculator!$C$72*W$33+W$37+W$38</f>
        <v>11818331.470921846</v>
      </c>
      <c r="X63" s="245">
        <f>(SUMPRODUCT($C$6:$C14,X$6:X14)+Calculator!$G48*1000*X15)*Calculator!$C$72*X$33+X$37+X$38</f>
        <v>11202209.925044406</v>
      </c>
      <c r="Y63" s="245">
        <f>(SUMPRODUCT($C$6:$C14,Y$6:Y14)+Calculator!$G48*1000*Y15)*Calculator!$C$72*Y$33+Y$37+Y$38</f>
        <v>10618208.45975773</v>
      </c>
      <c r="Z63" s="245">
        <f>(SUMPRODUCT($C$6:$C14,Z$6:Z14)+Calculator!$G48*1000*Z15)*Calculator!$C$72*Z$33+Z$37+Z$38</f>
        <v>10064652.56849074</v>
      </c>
      <c r="AA63" s="245">
        <f>(SUMPRODUCT($C$6:$C14,AA$6:AA14)+Calculator!$G48*1000*AA15)*Calculator!$C$72*AA$33+AA$37+AA$38</f>
        <v>9539955.0412234515</v>
      </c>
      <c r="AB63" s="245">
        <f>(SUMPRODUCT($C$6:$C14,AB$6:AB14)+Calculator!$G48*1000*AB15)*Calculator!$C$72*AB$33+AB$37+AB$38</f>
        <v>9042611.4134819452</v>
      </c>
      <c r="AC63" s="245">
        <f>(SUMPRODUCT($C$6:$C14,AC$6:AC14)+Calculator!$G48*1000*AC15)*Calculator!$C$72*AC$33+AC$37+AC$38</f>
        <v>8571195.6525895223</v>
      </c>
      <c r="AD63" s="245">
        <f>(SUMPRODUCT($C$6:$C14,AD$6:AD14)+Calculator!$G48*1000*AD15)*Calculator!$C$72*AD$33+AD$37+AD$38</f>
        <v>8124356.0688052336</v>
      </c>
      <c r="AE63" s="245">
        <f>(SUMPRODUCT($C$6:$C14,AE$6:AE14)+Calculator!$G48*1000*AE15)*Calculator!$C$72*AE$33+AE$37+AE$38</f>
        <v>7700811.4396258146</v>
      </c>
      <c r="AF63" s="245">
        <f>(SUMPRODUCT($C$6:$C14,AF$6:AF14)+Calculator!$G48*1000*AF15)*Calculator!$C$72*AF$33+AF$37+AF$38</f>
        <v>7299347.336138214</v>
      </c>
      <c r="AG63" s="245">
        <f>(SUMPRODUCT($C$6:$C14,AG$6:AG14)+Calculator!$G48*1000*AG15)*Calculator!$C$72*AG$33+AG$37+AG$38</f>
        <v>6918812.6408893019</v>
      </c>
      <c r="AH63" s="245">
        <f>(SUMPRODUCT($C$6:$C14,AH$6:AH14)+Calculator!$G48*1000*AH15)*Calculator!$C$72*AH$33+AH$37+AH$38</f>
        <v>6558116.2472884394</v>
      </c>
      <c r="AI63" s="245">
        <f>(SUMPRODUCT($C$6:$C14,AI$6:AI14)+Calculator!$G48*1000*AI15)*Calculator!$C$72*AI$33+AI$37+AI$38</f>
        <v>6216223.9310790878</v>
      </c>
      <c r="AJ63" s="245">
        <f>(SUMPRODUCT($C$6:$C14,AJ$6:AJ14)+Calculator!$G48*1000*AJ15)*Calculator!$C$72*AJ$33+AJ$37+AJ$38</f>
        <v>5892155.3849090897</v>
      </c>
      <c r="AK63" s="245">
        <f>(SUMPRODUCT($C$6:$C14,AK$6:AK14)+Calculator!$G48*1000*AK15)*Calculator!$C$72*AK$33+AK$37+AK$38</f>
        <v>5584981.407496768</v>
      </c>
      <c r="AL63" s="245">
        <f>(SUMPRODUCT($C$6:$C14,AL$6:AL14)+Calculator!$G48*1000*AL15)*Calculator!$C$72*AL$33+AL$37+AL$38</f>
        <v>5293821.2393334294</v>
      </c>
      <c r="AM63" s="245">
        <f>(SUMPRODUCT($C$6:$C14,AM$6:AM14)+Calculator!$G48*1000*AM15)*Calculator!$C$72*AM$33+AM$37+AM$38</f>
        <v>5017840.037282872</v>
      </c>
      <c r="AN63" s="245">
        <f>(SUMPRODUCT($C$6:$C14,AN$6:AN14)+Calculator!$G48*1000*AN15)*Calculator!$C$72*AN$33+AN$37+AN$38</f>
        <v>4756246.480836845</v>
      </c>
      <c r="AO63" s="245">
        <f>(SUMPRODUCT($C$6:$C14,AO$6:AO14)+Calculator!$G48*1000*AO15)*Calculator!$C$72*AO$33+AO$37+AO$38</f>
        <v>4508290.5031628869</v>
      </c>
      <c r="AP63" s="245">
        <f>(SUMPRODUCT($C$6:$C14,AP$6:AP14)+Calculator!$G48*1000*AP15)*Calculator!$C$72*AP$33+AP$37+AP$38</f>
        <v>24677688.87375148</v>
      </c>
    </row>
    <row r="64" spans="1:42" s="159" customFormat="1" x14ac:dyDescent="0.2">
      <c r="A64" s="156" t="str">
        <f>Calculator!B49</f>
        <v>Total CAPEX</v>
      </c>
      <c r="B64" s="157">
        <f>SUM(G64:AP64)/$B$41</f>
        <v>39.221441116194427</v>
      </c>
      <c r="C64" s="158">
        <f>B64/$B$43-1</f>
        <v>9.0346438086943426E-3</v>
      </c>
      <c r="F64" s="160"/>
      <c r="G64" s="246">
        <f>SUMPRODUCT(Calculator!$G39:$G48,G$6:G15)*1000*Calculator!$C$72*G$33</f>
        <v>41700000</v>
      </c>
      <c r="H64" s="246">
        <f>SUMPRODUCT(Calculator!$G39:$G48,H$6:H15)*1000*Calculator!$C$72*H$33</f>
        <v>216615748.98438495</v>
      </c>
      <c r="I64" s="246">
        <f>SUMPRODUCT(Calculator!$G39:$G48,I$6:I15)*1000*Calculator!$C$72*I$33</f>
        <v>370232276.98266184</v>
      </c>
      <c r="J64" s="246">
        <f>SUMPRODUCT(Calculator!$G39:$G48,J$6:J15)*1000*Calculator!$C$72*J$33</f>
        <v>410802243.47845358</v>
      </c>
      <c r="K64" s="246">
        <f>SUMPRODUCT(Calculator!$G39:$G48,K$6:K15)*1000*Calculator!$C$72*K$33</f>
        <v>492461209.70545936</v>
      </c>
      <c r="L64" s="246">
        <f>SUMPRODUCT(Calculator!$G39:$G48,L$6:L15)*1000*Calculator!$C$72*L$33+L37+L38</f>
        <v>35544213.964813694</v>
      </c>
      <c r="M64" s="246">
        <f>SUMPRODUCT(Calculator!$G39:$G48,M$6:M15)*1000*Calculator!$C$72*M$33+M37+M38</f>
        <v>20187417.409041014</v>
      </c>
      <c r="N64" s="246">
        <f>SUMPRODUCT(Calculator!$G39:$G48,N$6:N15)*1000*Calculator!$C$72*N$33+N37+N38</f>
        <v>19134992.804778211</v>
      </c>
      <c r="O64" s="246">
        <f>SUMPRODUCT(Calculator!$G39:$G48,O$6:O15)*1000*Calculator!$C$72*O$33+O37+O38</f>
        <v>18137433.938178401</v>
      </c>
      <c r="P64" s="246">
        <f>SUMPRODUCT(Calculator!$G39:$G48,P$6:P15)*1000*Calculator!$C$72*P$33+P37+P38</f>
        <v>17191880.510121707</v>
      </c>
      <c r="Q64" s="246">
        <f>SUMPRODUCT(Calculator!$G39:$G48,Q$6:Q15)*1000*Calculator!$C$72*Q$33+Q37+Q38</f>
        <v>16295621.336608255</v>
      </c>
      <c r="R64" s="246">
        <f>SUMPRODUCT(Calculator!$G39:$G48,R$6:R15)*1000*Calculator!$C$72*R$33+R37+R38</f>
        <v>15446086.574984128</v>
      </c>
      <c r="S64" s="246">
        <f>SUMPRODUCT(Calculator!$G39:$G48,S$6:S15)*1000*Calculator!$C$72*S$33+S37+S38</f>
        <v>14640840.355435194</v>
      </c>
      <c r="T64" s="246">
        <f>SUMPRODUCT(Calculator!$G39:$G48,T$6:T15)*1000*Calculator!$C$72*T$33+T37+T38</f>
        <v>13877573.796621038</v>
      </c>
      <c r="U64" s="246">
        <f>SUMPRODUCT(Calculator!$G39:$G48,U$6:U15)*1000*Calculator!$C$72*U$33+U37+U38</f>
        <v>13154098.385422789</v>
      </c>
      <c r="V64" s="246">
        <f>SUMPRODUCT(Calculator!$G39:$G48,V$6:V15)*1000*Calculator!$C$72*V$33+V37+V38</f>
        <v>12468339.701822547</v>
      </c>
      <c r="W64" s="246">
        <f>SUMPRODUCT(Calculator!$G39:$G48,W$6:W15)*1000*Calculator!$C$72*W$33+W37+W38</f>
        <v>11818331.470921846</v>
      </c>
      <c r="X64" s="246">
        <f>SUMPRODUCT(Calculator!$G39:$G48,X$6:X15)*1000*Calculator!$C$72*X$33+X37+X38</f>
        <v>11202209.925044406</v>
      </c>
      <c r="Y64" s="246">
        <f>SUMPRODUCT(Calculator!$G39:$G48,Y$6:Y15)*1000*Calculator!$C$72*Y$33+Y37+Y38</f>
        <v>10618208.45975773</v>
      </c>
      <c r="Z64" s="246">
        <f>SUMPRODUCT(Calculator!$G39:$G48,Z$6:Z15)*1000*Calculator!$C$72*Z$33+Z37+Z38</f>
        <v>10064652.56849074</v>
      </c>
      <c r="AA64" s="246">
        <f>SUMPRODUCT(Calculator!$G39:$G48,AA$6:AA15)*1000*Calculator!$C$72*AA$33+AA37+AA38</f>
        <v>9539955.0412234515</v>
      </c>
      <c r="AB64" s="246">
        <f>SUMPRODUCT(Calculator!$G39:$G48,AB$6:AB15)*1000*Calculator!$C$72*AB$33+AB37+AB38</f>
        <v>9042611.4134819452</v>
      </c>
      <c r="AC64" s="246">
        <f>SUMPRODUCT(Calculator!$G39:$G48,AC$6:AC15)*1000*Calculator!$C$72*AC$33+AC37+AC38</f>
        <v>8571195.6525895223</v>
      </c>
      <c r="AD64" s="246">
        <f>SUMPRODUCT(Calculator!$G39:$G48,AD$6:AD15)*1000*Calculator!$C$72*AD$33+AD37+AD38</f>
        <v>8124356.0688052336</v>
      </c>
      <c r="AE64" s="246">
        <f>SUMPRODUCT(Calculator!$G39:$G48,AE$6:AE15)*1000*Calculator!$C$72*AE$33+AE37+AE38</f>
        <v>7700811.4396258146</v>
      </c>
      <c r="AF64" s="246">
        <f>SUMPRODUCT(Calculator!$G39:$G48,AF$6:AF15)*1000*Calculator!$C$72*AF$33+AF37+AF38</f>
        <v>7299347.336138214</v>
      </c>
      <c r="AG64" s="246">
        <f>SUMPRODUCT(Calculator!$G39:$G48,AG$6:AG15)*1000*Calculator!$C$72*AG$33+AG37+AG38</f>
        <v>6918812.6408893019</v>
      </c>
      <c r="AH64" s="246">
        <f>SUMPRODUCT(Calculator!$G39:$G48,AH$6:AH15)*1000*Calculator!$C$72*AH$33+AH37+AH38</f>
        <v>6558116.2472884394</v>
      </c>
      <c r="AI64" s="246">
        <f>SUMPRODUCT(Calculator!$G39:$G48,AI$6:AI15)*1000*Calculator!$C$72*AI$33+AI37+AI38</f>
        <v>6216223.9310790878</v>
      </c>
      <c r="AJ64" s="246">
        <f>SUMPRODUCT(Calculator!$G39:$G48,AJ$6:AJ15)*1000*Calculator!$C$72*AJ$33+AJ37+AJ38</f>
        <v>5892155.3849090897</v>
      </c>
      <c r="AK64" s="246">
        <f>SUMPRODUCT(Calculator!$G39:$G48,AK$6:AK15)*1000*Calculator!$C$72*AK$33+AK37+AK38</f>
        <v>5584981.407496768</v>
      </c>
      <c r="AL64" s="246">
        <f>SUMPRODUCT(Calculator!$G39:$G48,AL$6:AL15)*1000*Calculator!$C$72*AL$33+AL37+AL38</f>
        <v>5293821.2393334294</v>
      </c>
      <c r="AM64" s="246">
        <f>SUMPRODUCT(Calculator!$G39:$G48,AM$6:AM15)*1000*Calculator!$C$72*AM$33+AM37+AM38</f>
        <v>5017840.037282872</v>
      </c>
      <c r="AN64" s="246">
        <f>SUMPRODUCT(Calculator!$G39:$G48,AN$6:AN15)*1000*Calculator!$C$72*AN$33+AN37+AN38</f>
        <v>4756246.480836845</v>
      </c>
      <c r="AO64" s="246">
        <f>SUMPRODUCT(Calculator!$G39:$G48,AO$6:AO15)*1000*Calculator!$C$72*AO$33+AO37+AO38</f>
        <v>4508290.5031628869</v>
      </c>
      <c r="AP64" s="246">
        <f>SUMPRODUCT(Calculator!$G39:$G48,AP$6:AP15)*1000*Calculator!$C$72*AP$33+AP37+AP38</f>
        <v>24677688.87375148</v>
      </c>
    </row>
    <row r="66" spans="1:42" x14ac:dyDescent="0.2">
      <c r="A66" s="54" t="str">
        <f>Calculator!B51</f>
        <v>OPEX</v>
      </c>
    </row>
    <row r="67" spans="1:42" x14ac:dyDescent="0.2">
      <c r="A67" s="54" t="str">
        <f>Calculator!B52</f>
        <v>Operation, maintenance and service (OMS)</v>
      </c>
      <c r="B67" s="152">
        <f>SUM(G67:AP67)/$B$41</f>
        <v>38.870262142982007</v>
      </c>
      <c r="C67" s="154">
        <f>B67/$B$43-1</f>
        <v>0</v>
      </c>
      <c r="G67" s="245">
        <f>G$16*G$33</f>
        <v>41700000</v>
      </c>
      <c r="H67" s="245">
        <f>H16*H33</f>
        <v>91304751.385359198</v>
      </c>
      <c r="I67" s="245">
        <f>I16*I33</f>
        <v>329442037.43425792</v>
      </c>
      <c r="J67" s="245">
        <f>J16*J33</f>
        <v>533250006.56131881</v>
      </c>
      <c r="K67" s="245">
        <f>K16*K33</f>
        <v>507583954.42363393</v>
      </c>
      <c r="L67" s="247">
        <f>(Calculator!G52*1000*'Contributions to LCOE'!L19+'Contributions to LCOE'!C20*'Contributions to LCOE'!L20+'Contributions to LCOE'!C21*'Contributions to LCOE'!L21)*Calculator!C72*L33+L36+L38</f>
        <v>47087030.987729959</v>
      </c>
      <c r="M67" s="247">
        <f>(Calculator!$G52*1000*M19+$C20*M20+$C21*M21)*Calculator!$C72*M33+M36+M38</f>
        <v>20187417.409041014</v>
      </c>
      <c r="N67" s="247">
        <f>(Calculator!$G52*1000*N19+$C20*N20+$C21*N21)*Calculator!$C72*N33+N36+N38</f>
        <v>19134992.804778211</v>
      </c>
      <c r="O67" s="247">
        <f>(Calculator!$G52*1000*O19+$C20*O20+$C21*O21)*Calculator!$C72*O33+O36+O38</f>
        <v>18137433.938178401</v>
      </c>
      <c r="P67" s="247">
        <f>(Calculator!$G52*1000*P19+$C20*P20+$C21*P21)*Calculator!$C72*P33+P36+P38</f>
        <v>17191880.510121707</v>
      </c>
      <c r="Q67" s="247">
        <f>(Calculator!$G52*1000*Q19+$C20*Q20+$C21*Q21)*Calculator!$C72*Q33+Q36+Q38</f>
        <v>16295621.336608255</v>
      </c>
      <c r="R67" s="247">
        <f>(Calculator!$G52*1000*R19+$C20*R20+$C21*R21)*Calculator!$C72*R33+R36+R38</f>
        <v>15446086.574984128</v>
      </c>
      <c r="S67" s="247">
        <f>(Calculator!$G52*1000*S19+$C20*S20+$C21*S21)*Calculator!$C72*S33+S36+S38</f>
        <v>14640840.355435194</v>
      </c>
      <c r="T67" s="247">
        <f>(Calculator!$G52*1000*T19+$C20*T20+$C21*T21)*Calculator!$C72*T33+T36+T38</f>
        <v>13877573.796621038</v>
      </c>
      <c r="U67" s="247">
        <f>(Calculator!$G52*1000*U19+$C20*U20+$C21*U21)*Calculator!$C72*U33+U36+U38</f>
        <v>13154098.385422789</v>
      </c>
      <c r="V67" s="247">
        <f>(Calculator!$G52*1000*V19+$C20*V20+$C21*V21)*Calculator!$C72*V33+V36+V38</f>
        <v>12468339.701822547</v>
      </c>
      <c r="W67" s="247">
        <f>(Calculator!$G52*1000*W19+$C20*W20+$C21*W21)*Calculator!$C72*W33+W36+W38</f>
        <v>11818331.470921846</v>
      </c>
      <c r="X67" s="247">
        <f>(Calculator!$G52*1000*X19+$C20*X20+$C21*X21)*Calculator!$C72*X33+X36+X38</f>
        <v>11202209.925044406</v>
      </c>
      <c r="Y67" s="247">
        <f>(Calculator!$G52*1000*Y19+$C20*Y20+$C21*Y21)*Calculator!$C72*Y33+Y36+Y38</f>
        <v>10618208.45975773</v>
      </c>
      <c r="Z67" s="247">
        <f>(Calculator!$G52*1000*Z19+$C20*Z20+$C21*Z21)*Calculator!$C72*Z33+Z36+Z38</f>
        <v>10064652.56849074</v>
      </c>
      <c r="AA67" s="247">
        <f>(Calculator!$G52*1000*AA19+$C20*AA20+$C21*AA21)*Calculator!$C72*AA33+AA36+AA38</f>
        <v>9539955.0412234515</v>
      </c>
      <c r="AB67" s="247">
        <f>(Calculator!$G52*1000*AB19+$C20*AB20+$C21*AB21)*Calculator!$C72*AB33+AB36+AB38</f>
        <v>9042611.4134819452</v>
      </c>
      <c r="AC67" s="247">
        <f>(Calculator!$G52*1000*AC19+$C20*AC20+$C21*AC21)*Calculator!$C72*AC33+AC36+AC38</f>
        <v>8571195.6525895223</v>
      </c>
      <c r="AD67" s="247">
        <f>(Calculator!$G52*1000*AD19+$C20*AD20+$C21*AD21)*Calculator!$C72*AD33+AD36+AD38</f>
        <v>8124356.0688052336</v>
      </c>
      <c r="AE67" s="247">
        <f>(Calculator!$G52*1000*AE19+$C20*AE20+$C21*AE21)*Calculator!$C72*AE33+AE36+AE38</f>
        <v>7700811.4396258146</v>
      </c>
      <c r="AF67" s="247">
        <f>(Calculator!$G52*1000*AF19+$C20*AF20+$C21*AF21)*Calculator!$C72*AF33+AF36+AF38</f>
        <v>7299347.336138214</v>
      </c>
      <c r="AG67" s="247">
        <f>(Calculator!$G52*1000*AG19+$C20*AG20+$C21*AG21)*Calculator!$C72*AG33+AG36+AG38</f>
        <v>6918812.6408893019</v>
      </c>
      <c r="AH67" s="247">
        <f>(Calculator!$G52*1000*AH19+$C20*AH20+$C21*AH21)*Calculator!$C72*AH33+AH36+AH38</f>
        <v>6558116.2472884394</v>
      </c>
      <c r="AI67" s="247">
        <f>(Calculator!$G52*1000*AI19+$C20*AI20+$C21*AI21)*Calculator!$C72*AI33+AI36+AI38</f>
        <v>6216223.9310790878</v>
      </c>
      <c r="AJ67" s="247">
        <f>(Calculator!$G52*1000*AJ19+$C20*AJ20+$C21*AJ21)*Calculator!$C72*AJ33+AJ36+AJ38</f>
        <v>5892155.3849090897</v>
      </c>
      <c r="AK67" s="247">
        <f>(Calculator!$G52*1000*AK19+$C20*AK20+$C21*AK21)*Calculator!$C72*AK33+AK36+AK38</f>
        <v>5584981.407496768</v>
      </c>
      <c r="AL67" s="247">
        <f>(Calculator!$G52*1000*AL19+$C20*AL20+$C21*AL21)*Calculator!$C72*AL33+AL36+AL38</f>
        <v>5293821.2393334294</v>
      </c>
      <c r="AM67" s="247">
        <f>(Calculator!$G52*1000*AM19+$C20*AM20+$C21*AM21)*Calculator!$C72*AM33+AM36+AM38</f>
        <v>5017840.037282872</v>
      </c>
      <c r="AN67" s="247">
        <f>(Calculator!$G52*1000*AN19+$C20*AN20+$C21*AN21)*Calculator!$C72*AN33+AN36+AN38</f>
        <v>4756246.480836845</v>
      </c>
      <c r="AO67" s="247">
        <f>(Calculator!$G52*1000*AO19+$C20*AO20+$C21*AO21)*Calculator!$C72*AO33+AO36+AO38</f>
        <v>4508290.5031628869</v>
      </c>
      <c r="AP67" s="247">
        <f>(Calculator!$G52*1000*AP19+$C20*AP20+$C21*AP21)*Calculator!$C72*AP33+AP36+AP38</f>
        <v>24677688.87375148</v>
      </c>
    </row>
    <row r="68" spans="1:42" x14ac:dyDescent="0.2">
      <c r="A68" s="54" t="str">
        <f>Calculator!B53</f>
        <v>Operating phase insurance</v>
      </c>
      <c r="B68" s="152">
        <f>SUM(G68:AP68)/$B$41</f>
        <v>38.870262142982007</v>
      </c>
      <c r="C68" s="154">
        <f>B68/$B$43-1</f>
        <v>0</v>
      </c>
      <c r="G68" s="245">
        <f t="shared" ref="G68:K70" si="18">G$16*G$33</f>
        <v>41700000</v>
      </c>
      <c r="H68" s="245">
        <f t="shared" si="18"/>
        <v>91304751.385359198</v>
      </c>
      <c r="I68" s="245">
        <f t="shared" si="18"/>
        <v>329442037.43425792</v>
      </c>
      <c r="J68" s="245">
        <f t="shared" si="18"/>
        <v>533250006.56131881</v>
      </c>
      <c r="K68" s="245">
        <f t="shared" si="18"/>
        <v>507583954.42363393</v>
      </c>
      <c r="L68" s="247">
        <f>(Calculator!$G53*1000*L19+$C$19*L20+$C$21*L21)*Calculator!$C$72*L$33+L$36+L$38</f>
        <v>47087030.987729959</v>
      </c>
      <c r="M68" s="247">
        <f>(Calculator!$G53*1000*M19+$C$19*M20+$C$21*M21)*Calculator!$C$72*M$33+M$36+M$38</f>
        <v>20187417.409041014</v>
      </c>
      <c r="N68" s="247">
        <f>(Calculator!$G53*1000*N19+$C$19*N20+$C$21*N21)*Calculator!$C$72*N$33+N$36+N$38</f>
        <v>19134992.804778211</v>
      </c>
      <c r="O68" s="247">
        <f>(Calculator!$G53*1000*O19+$C$19*O20+$C$21*O21)*Calculator!$C$72*O$33+O$36+O$38</f>
        <v>18137433.938178401</v>
      </c>
      <c r="P68" s="247">
        <f>(Calculator!$G53*1000*P19+$C$19*P20+$C$21*P21)*Calculator!$C$72*P$33+P$36+P$38</f>
        <v>17191880.510121707</v>
      </c>
      <c r="Q68" s="247">
        <f>(Calculator!$G53*1000*Q19+$C$19*Q20+$C$21*Q21)*Calculator!$C$72*Q$33+Q$36+Q$38</f>
        <v>16295621.336608255</v>
      </c>
      <c r="R68" s="247">
        <f>(Calculator!$G53*1000*R19+$C$19*R20+$C$21*R21)*Calculator!$C$72*R$33+R$36+R$38</f>
        <v>15446086.574984128</v>
      </c>
      <c r="S68" s="247">
        <f>(Calculator!$G53*1000*S19+$C$19*S20+$C$21*S21)*Calculator!$C$72*S$33+S$36+S$38</f>
        <v>14640840.355435194</v>
      </c>
      <c r="T68" s="247">
        <f>(Calculator!$G53*1000*T19+$C$19*T20+$C$21*T21)*Calculator!$C$72*T$33+T$36+T$38</f>
        <v>13877573.796621038</v>
      </c>
      <c r="U68" s="247">
        <f>(Calculator!$G53*1000*U19+$C$19*U20+$C$21*U21)*Calculator!$C$72*U$33+U$36+U$38</f>
        <v>13154098.385422789</v>
      </c>
      <c r="V68" s="247">
        <f>(Calculator!$G53*1000*V19+$C$19*V20+$C$21*V21)*Calculator!$C$72*V$33+V$36+V$38</f>
        <v>12468339.701822547</v>
      </c>
      <c r="W68" s="247">
        <f>(Calculator!$G53*1000*W19+$C$19*W20+$C$21*W21)*Calculator!$C$72*W$33+W$36+W$38</f>
        <v>11818331.470921846</v>
      </c>
      <c r="X68" s="247">
        <f>(Calculator!$G53*1000*X19+$C$19*X20+$C$21*X21)*Calculator!$C$72*X$33+X$36+X$38</f>
        <v>11202209.925044406</v>
      </c>
      <c r="Y68" s="247">
        <f>(Calculator!$G53*1000*Y19+$C$19*Y20+$C$21*Y21)*Calculator!$C$72*Y$33+Y$36+Y$38</f>
        <v>10618208.45975773</v>
      </c>
      <c r="Z68" s="247">
        <f>(Calculator!$G53*1000*Z19+$C$19*Z20+$C$21*Z21)*Calculator!$C$72*Z$33+Z$36+Z$38</f>
        <v>10064652.56849074</v>
      </c>
      <c r="AA68" s="247">
        <f>(Calculator!$G53*1000*AA19+$C$19*AA20+$C$21*AA21)*Calculator!$C$72*AA$33+AA$36+AA$38</f>
        <v>9539955.0412234515</v>
      </c>
      <c r="AB68" s="247">
        <f>(Calculator!$G53*1000*AB19+$C$19*AB20+$C$21*AB21)*Calculator!$C$72*AB$33+AB$36+AB$38</f>
        <v>9042611.4134819452</v>
      </c>
      <c r="AC68" s="247">
        <f>(Calculator!$G53*1000*AC19+$C$19*AC20+$C$21*AC21)*Calculator!$C$72*AC$33+AC$36+AC$38</f>
        <v>8571195.6525895223</v>
      </c>
      <c r="AD68" s="247">
        <f>(Calculator!$G53*1000*AD19+$C$19*AD20+$C$21*AD21)*Calculator!$C$72*AD$33+AD$36+AD$38</f>
        <v>8124356.0688052336</v>
      </c>
      <c r="AE68" s="247">
        <f>(Calculator!$G53*1000*AE19+$C$19*AE20+$C$21*AE21)*Calculator!$C$72*AE$33+AE$36+AE$38</f>
        <v>7700811.4396258146</v>
      </c>
      <c r="AF68" s="247">
        <f>(Calculator!$G53*1000*AF19+$C$19*AF20+$C$21*AF21)*Calculator!$C$72*AF$33+AF$36+AF$38</f>
        <v>7299347.336138214</v>
      </c>
      <c r="AG68" s="247">
        <f>(Calculator!$G53*1000*AG19+$C$19*AG20+$C$21*AG21)*Calculator!$C$72*AG$33+AG$36+AG$38</f>
        <v>6918812.6408893019</v>
      </c>
      <c r="AH68" s="247">
        <f>(Calculator!$G53*1000*AH19+$C$19*AH20+$C$21*AH21)*Calculator!$C$72*AH$33+AH$36+AH$38</f>
        <v>6558116.2472884394</v>
      </c>
      <c r="AI68" s="247">
        <f>(Calculator!$G53*1000*AI19+$C$19*AI20+$C$21*AI21)*Calculator!$C$72*AI$33+AI$36+AI$38</f>
        <v>6216223.9310790878</v>
      </c>
      <c r="AJ68" s="247">
        <f>(Calculator!$G53*1000*AJ19+$C$19*AJ20+$C$21*AJ21)*Calculator!$C$72*AJ$33+AJ$36+AJ$38</f>
        <v>5892155.3849090897</v>
      </c>
      <c r="AK68" s="247">
        <f>(Calculator!$G53*1000*AK19+$C$19*AK20+$C$21*AK21)*Calculator!$C$72*AK$33+AK$36+AK$38</f>
        <v>5584981.407496768</v>
      </c>
      <c r="AL68" s="247">
        <f>(Calculator!$G53*1000*AL19+$C$19*AL20+$C$21*AL21)*Calculator!$C$72*AL$33+AL$36+AL$38</f>
        <v>5293821.2393334294</v>
      </c>
      <c r="AM68" s="247">
        <f>(Calculator!$G53*1000*AM19+$C$19*AM20+$C$21*AM21)*Calculator!$C$72*AM$33+AM$36+AM$38</f>
        <v>5017840.037282872</v>
      </c>
      <c r="AN68" s="247">
        <f>(Calculator!$G53*1000*AN19+$C$19*AN20+$C$21*AN21)*Calculator!$C$72*AN$33+AN$36+AN$38</f>
        <v>4756246.480836845</v>
      </c>
      <c r="AO68" s="247">
        <f>(Calculator!$G53*1000*AO19+$C$19*AO20+$C$21*AO21)*Calculator!$C$72*AO$33+AO$36+AO$38</f>
        <v>4508290.5031628869</v>
      </c>
      <c r="AP68" s="247">
        <f>(Calculator!$G53*1000*AP19+$C$19*AP20+$C$21*AP21)*Calculator!$C$72*AP$33+AP$36+AP$38</f>
        <v>24677688.87375148</v>
      </c>
    </row>
    <row r="69" spans="1:42" x14ac:dyDescent="0.2">
      <c r="A69" s="54" t="str">
        <f>Calculator!B54</f>
        <v>Transmission charges</v>
      </c>
      <c r="B69" s="152">
        <f>SUM(G69:AP69)/$B$41</f>
        <v>38.870262142982007</v>
      </c>
      <c r="C69" s="154">
        <f>B69/$B$43-1</f>
        <v>0</v>
      </c>
      <c r="G69" s="245">
        <f t="shared" si="18"/>
        <v>41700000</v>
      </c>
      <c r="H69" s="245">
        <f t="shared" si="18"/>
        <v>91304751.385359198</v>
      </c>
      <c r="I69" s="245">
        <f t="shared" si="18"/>
        <v>329442037.43425792</v>
      </c>
      <c r="J69" s="245">
        <f t="shared" si="18"/>
        <v>533250006.56131881</v>
      </c>
      <c r="K69" s="245">
        <f t="shared" si="18"/>
        <v>507583954.42363393</v>
      </c>
      <c r="L69" s="247">
        <f>(Calculator!$G54*1000*L21+$C$19*L19+$C$20*L20)*Calculator!$C$72*L$33+L$36+L$38</f>
        <v>47087030.987729959</v>
      </c>
      <c r="M69" s="247">
        <f>(Calculator!$G54*1000*M21+$C$19*M19+$C$20*M20)*Calculator!$C$72*M$33+M$36+M$38</f>
        <v>20187417.409041014</v>
      </c>
      <c r="N69" s="247">
        <f>(Calculator!$G54*1000*N21+$C$19*N19+$C$20*N20)*Calculator!$C$72*N$33+N$36+N$38</f>
        <v>19134992.804778211</v>
      </c>
      <c r="O69" s="247">
        <f>(Calculator!$G54*1000*O21+$C$19*O19+$C$20*O20)*Calculator!$C$72*O$33+O$36+O$38</f>
        <v>18137433.938178401</v>
      </c>
      <c r="P69" s="247">
        <f>(Calculator!$G54*1000*P21+$C$19*P19+$C$20*P20)*Calculator!$C$72*P$33+P$36+P$38</f>
        <v>17191880.510121707</v>
      </c>
      <c r="Q69" s="247">
        <f>(Calculator!$G54*1000*Q21+$C$19*Q19+$C$20*Q20)*Calculator!$C$72*Q$33+Q$36+Q$38</f>
        <v>16295621.336608255</v>
      </c>
      <c r="R69" s="247">
        <f>(Calculator!$G54*1000*R21+$C$19*R19+$C$20*R20)*Calculator!$C$72*R$33+R$36+R$38</f>
        <v>15446086.574984128</v>
      </c>
      <c r="S69" s="247">
        <f>(Calculator!$G54*1000*S21+$C$19*S19+$C$20*S20)*Calculator!$C$72*S$33+S$36+S$38</f>
        <v>14640840.355435194</v>
      </c>
      <c r="T69" s="247">
        <f>(Calculator!$G54*1000*T21+$C$19*T19+$C$20*T20)*Calculator!$C$72*T$33+T$36+T$38</f>
        <v>13877573.796621038</v>
      </c>
      <c r="U69" s="247">
        <f>(Calculator!$G54*1000*U21+$C$19*U19+$C$20*U20)*Calculator!$C$72*U$33+U$36+U$38</f>
        <v>13154098.385422789</v>
      </c>
      <c r="V69" s="247">
        <f>(Calculator!$G54*1000*V21+$C$19*V19+$C$20*V20)*Calculator!$C$72*V$33+V$36+V$38</f>
        <v>12468339.701822547</v>
      </c>
      <c r="W69" s="247">
        <f>(Calculator!$G54*1000*W21+$C$19*W19+$C$20*W20)*Calculator!$C$72*W$33+W$36+W$38</f>
        <v>11818331.470921846</v>
      </c>
      <c r="X69" s="247">
        <f>(Calculator!$G54*1000*X21+$C$19*X19+$C$20*X20)*Calculator!$C$72*X$33+X$36+X$38</f>
        <v>11202209.925044406</v>
      </c>
      <c r="Y69" s="247">
        <f>(Calculator!$G54*1000*Y21+$C$19*Y19+$C$20*Y20)*Calculator!$C$72*Y$33+Y$36+Y$38</f>
        <v>10618208.45975773</v>
      </c>
      <c r="Z69" s="247">
        <f>(Calculator!$G54*1000*Z21+$C$19*Z19+$C$20*Z20)*Calculator!$C$72*Z$33+Z$36+Z$38</f>
        <v>10064652.56849074</v>
      </c>
      <c r="AA69" s="247">
        <f>(Calculator!$G54*1000*AA21+$C$19*AA19+$C$20*AA20)*Calculator!$C$72*AA$33+AA$36+AA$38</f>
        <v>9539955.0412234515</v>
      </c>
      <c r="AB69" s="247">
        <f>(Calculator!$G54*1000*AB21+$C$19*AB19+$C$20*AB20)*Calculator!$C$72*AB$33+AB$36+AB$38</f>
        <v>9042611.4134819452</v>
      </c>
      <c r="AC69" s="247">
        <f>(Calculator!$G54*1000*AC21+$C$19*AC19+$C$20*AC20)*Calculator!$C$72*AC$33+AC$36+AC$38</f>
        <v>8571195.6525895223</v>
      </c>
      <c r="AD69" s="247">
        <f>(Calculator!$G54*1000*AD21+$C$19*AD19+$C$20*AD20)*Calculator!$C$72*AD$33+AD$36+AD$38</f>
        <v>8124356.0688052336</v>
      </c>
      <c r="AE69" s="247">
        <f>(Calculator!$G54*1000*AE21+$C$19*AE19+$C$20*AE20)*Calculator!$C$72*AE$33+AE$36+AE$38</f>
        <v>7700811.4396258146</v>
      </c>
      <c r="AF69" s="247">
        <f>(Calculator!$G54*1000*AF21+$C$19*AF19+$C$20*AF20)*Calculator!$C$72*AF$33+AF$36+AF$38</f>
        <v>7299347.336138214</v>
      </c>
      <c r="AG69" s="247">
        <f>(Calculator!$G54*1000*AG21+$C$19*AG19+$C$20*AG20)*Calculator!$C$72*AG$33+AG$36+AG$38</f>
        <v>6918812.6408893019</v>
      </c>
      <c r="AH69" s="247">
        <f>(Calculator!$G54*1000*AH21+$C$19*AH19+$C$20*AH20)*Calculator!$C$72*AH$33+AH$36+AH$38</f>
        <v>6558116.2472884394</v>
      </c>
      <c r="AI69" s="247">
        <f>(Calculator!$G54*1000*AI21+$C$19*AI19+$C$20*AI20)*Calculator!$C$72*AI$33+AI$36+AI$38</f>
        <v>6216223.9310790878</v>
      </c>
      <c r="AJ69" s="247">
        <f>(Calculator!$G54*1000*AJ21+$C$19*AJ19+$C$20*AJ20)*Calculator!$C$72*AJ$33+AJ$36+AJ$38</f>
        <v>5892155.3849090897</v>
      </c>
      <c r="AK69" s="247">
        <f>(Calculator!$G54*1000*AK21+$C$19*AK19+$C$20*AK20)*Calculator!$C$72*AK$33+AK$36+AK$38</f>
        <v>5584981.407496768</v>
      </c>
      <c r="AL69" s="247">
        <f>(Calculator!$G54*1000*AL21+$C$19*AL19+$C$20*AL20)*Calculator!$C$72*AL$33+AL$36+AL$38</f>
        <v>5293821.2393334294</v>
      </c>
      <c r="AM69" s="247">
        <f>(Calculator!$G54*1000*AM21+$C$19*AM19+$C$20*AM20)*Calculator!$C$72*AM$33+AM$36+AM$38</f>
        <v>5017840.037282872</v>
      </c>
      <c r="AN69" s="247">
        <f>(Calculator!$G54*1000*AN21+$C$19*AN19+$C$20*AN20)*Calculator!$C$72*AN$33+AN$36+AN$38</f>
        <v>4756246.480836845</v>
      </c>
      <c r="AO69" s="247">
        <f>(Calculator!$G54*1000*AO21+$C$19*AO19+$C$20*AO20)*Calculator!$C$72*AO$33+AO$36+AO$38</f>
        <v>4508290.5031628869</v>
      </c>
      <c r="AP69" s="247">
        <f>(Calculator!$G54*1000*AP21+$C$19*AP19+$C$20*AP20)*Calculator!$C$72*AP$33+AP$36+AP$38</f>
        <v>24677688.87375148</v>
      </c>
    </row>
    <row r="70" spans="1:42" s="159" customFormat="1" x14ac:dyDescent="0.2">
      <c r="A70" s="156" t="str">
        <f>Calculator!B55</f>
        <v>Total OPEX</v>
      </c>
      <c r="B70" s="157">
        <f>SUM(G70:AP70)/$B$41</f>
        <v>38.870262142982007</v>
      </c>
      <c r="C70" s="158">
        <f>B70/$B$43-1</f>
        <v>0</v>
      </c>
      <c r="F70" s="160"/>
      <c r="G70" s="246">
        <f t="shared" si="18"/>
        <v>41700000</v>
      </c>
      <c r="H70" s="246">
        <f t="shared" si="18"/>
        <v>91304751.385359198</v>
      </c>
      <c r="I70" s="246">
        <f t="shared" si="18"/>
        <v>329442037.43425792</v>
      </c>
      <c r="J70" s="246">
        <f t="shared" si="18"/>
        <v>533250006.56131881</v>
      </c>
      <c r="K70" s="246">
        <f t="shared" si="18"/>
        <v>507583954.42363393</v>
      </c>
      <c r="L70" s="248">
        <f>SUMPRODUCT(L19:L21,Calculator!$G$52:$G$54)*1000*Calculator!$C$72*L$33+L36+L38</f>
        <v>47087030.987729959</v>
      </c>
      <c r="M70" s="248">
        <f>SUMPRODUCT(M19:M21,Calculator!$G$52:$G$54)*1000*Calculator!$C$72*M$33+M36+M38</f>
        <v>20187417.409041014</v>
      </c>
      <c r="N70" s="248">
        <f>SUMPRODUCT(N19:N21,Calculator!$G$52:$G$54)*1000*Calculator!$C$72*N$33+N36+N38</f>
        <v>19134992.804778211</v>
      </c>
      <c r="O70" s="248">
        <f>SUMPRODUCT(O19:O21,Calculator!$G$52:$G$54)*1000*Calculator!$C$72*O$33+O36+O38</f>
        <v>18137433.938178401</v>
      </c>
      <c r="P70" s="248">
        <f>SUMPRODUCT(P19:P21,Calculator!$G$52:$G$54)*1000*Calculator!$C$72*P$33+P36+P38</f>
        <v>17191880.510121707</v>
      </c>
      <c r="Q70" s="248">
        <f>SUMPRODUCT(Q19:Q21,Calculator!$G$52:$G$54)*1000*Calculator!$C$72*Q$33+Q36+Q38</f>
        <v>16295621.336608255</v>
      </c>
      <c r="R70" s="248">
        <f>SUMPRODUCT(R19:R21,Calculator!$G$52:$G$54)*1000*Calculator!$C$72*R$33+R36+R38</f>
        <v>15446086.574984128</v>
      </c>
      <c r="S70" s="248">
        <f>SUMPRODUCT(S19:S21,Calculator!$G$52:$G$54)*1000*Calculator!$C$72*S$33+S36+S38</f>
        <v>14640840.355435194</v>
      </c>
      <c r="T70" s="248">
        <f>SUMPRODUCT(T19:T21,Calculator!$G$52:$G$54)*1000*Calculator!$C$72*T$33+T36+T38</f>
        <v>13877573.796621038</v>
      </c>
      <c r="U70" s="248">
        <f>SUMPRODUCT(U19:U21,Calculator!$G$52:$G$54)*1000*Calculator!$C$72*U$33+U36+U38</f>
        <v>13154098.385422789</v>
      </c>
      <c r="V70" s="248">
        <f>SUMPRODUCT(V19:V21,Calculator!$G$52:$G$54)*1000*Calculator!$C$72*V$33+V36+V38</f>
        <v>12468339.701822547</v>
      </c>
      <c r="W70" s="248">
        <f>SUMPRODUCT(W19:W21,Calculator!$G$52:$G$54)*1000*Calculator!$C$72*W$33+W36+W38</f>
        <v>11818331.470921846</v>
      </c>
      <c r="X70" s="248">
        <f>SUMPRODUCT(X19:X21,Calculator!$G$52:$G$54)*1000*Calculator!$C$72*X$33+X36+X38</f>
        <v>11202209.925044406</v>
      </c>
      <c r="Y70" s="248">
        <f>SUMPRODUCT(Y19:Y21,Calculator!$G$52:$G$54)*1000*Calculator!$C$72*Y$33+Y36+Y38</f>
        <v>10618208.45975773</v>
      </c>
      <c r="Z70" s="248">
        <f>SUMPRODUCT(Z19:Z21,Calculator!$G$52:$G$54)*1000*Calculator!$C$72*Z$33+Z36+Z38</f>
        <v>10064652.56849074</v>
      </c>
      <c r="AA70" s="248">
        <f>SUMPRODUCT(AA19:AA21,Calculator!$G$52:$G$54)*1000*Calculator!$C$72*AA$33+AA36+AA38</f>
        <v>9539955.0412234515</v>
      </c>
      <c r="AB70" s="248">
        <f>SUMPRODUCT(AB19:AB21,Calculator!$G$52:$G$54)*1000*Calculator!$C$72*AB$33+AB36+AB38</f>
        <v>9042611.4134819452</v>
      </c>
      <c r="AC70" s="248">
        <f>SUMPRODUCT(AC19:AC21,Calculator!$G$52:$G$54)*1000*Calculator!$C$72*AC$33+AC36+AC38</f>
        <v>8571195.6525895223</v>
      </c>
      <c r="AD70" s="248">
        <f>SUMPRODUCT(AD19:AD21,Calculator!$G$52:$G$54)*1000*Calculator!$C$72*AD$33+AD36+AD38</f>
        <v>8124356.0688052336</v>
      </c>
      <c r="AE70" s="248">
        <f>SUMPRODUCT(AE19:AE21,Calculator!$G$52:$G$54)*1000*Calculator!$C$72*AE$33+AE36+AE38</f>
        <v>7700811.4396258146</v>
      </c>
      <c r="AF70" s="248">
        <f>SUMPRODUCT(AF19:AF21,Calculator!$G$52:$G$54)*1000*Calculator!$C$72*AF$33+AF36+AF38</f>
        <v>7299347.336138214</v>
      </c>
      <c r="AG70" s="248">
        <f>SUMPRODUCT(AG19:AG21,Calculator!$G$52:$G$54)*1000*Calculator!$C$72*AG$33+AG36+AG38</f>
        <v>6918812.6408893019</v>
      </c>
      <c r="AH70" s="248">
        <f>SUMPRODUCT(AH19:AH21,Calculator!$G$52:$G$54)*1000*Calculator!$C$72*AH$33+AH36+AH38</f>
        <v>6558116.2472884394</v>
      </c>
      <c r="AI70" s="248">
        <f>SUMPRODUCT(AI19:AI21,Calculator!$G$52:$G$54)*1000*Calculator!$C$72*AI$33+AI36+AI38</f>
        <v>6216223.9310790878</v>
      </c>
      <c r="AJ70" s="248">
        <f>SUMPRODUCT(AJ19:AJ21,Calculator!$G$52:$G$54)*1000*Calculator!$C$72*AJ$33+AJ36+AJ38</f>
        <v>5892155.3849090897</v>
      </c>
      <c r="AK70" s="248">
        <f>SUMPRODUCT(AK19:AK21,Calculator!$G$52:$G$54)*1000*Calculator!$C$72*AK$33+AK36+AK38</f>
        <v>5584981.407496768</v>
      </c>
      <c r="AL70" s="248">
        <f>SUMPRODUCT(AL19:AL21,Calculator!$G$52:$G$54)*1000*Calculator!$C$72*AL$33+AL36+AL38</f>
        <v>5293821.2393334294</v>
      </c>
      <c r="AM70" s="248">
        <f>SUMPRODUCT(AM19:AM21,Calculator!$G$52:$G$54)*1000*Calculator!$C$72*AM$33+AM36+AM38</f>
        <v>5017840.037282872</v>
      </c>
      <c r="AN70" s="248">
        <f>SUMPRODUCT(AN19:AN21,Calculator!$G$52:$G$54)*1000*Calculator!$C$72*AN$33+AN36+AN38</f>
        <v>4756246.480836845</v>
      </c>
      <c r="AO70" s="248">
        <f>SUMPRODUCT(AO19:AO21,Calculator!$G$52:$G$54)*1000*Calculator!$C$72*AO$33+AO36+AO38</f>
        <v>4508290.5031628869</v>
      </c>
      <c r="AP70" s="248">
        <f>SUMPRODUCT(AP19:AP21,Calculator!$G$52:$G$54)*1000*Calculator!$C$72*AP$33+AP36+AP38</f>
        <v>24677688.87375148</v>
      </c>
    </row>
    <row r="71" spans="1:42" x14ac:dyDescent="0.2">
      <c r="A71" s="54" t="e">
        <f>Calculator!#REF!</f>
        <v>#REF!</v>
      </c>
    </row>
    <row r="73" spans="1:42" x14ac:dyDescent="0.2">
      <c r="A73" s="54" t="str">
        <f>Calculator!B57</f>
        <v>Energy production</v>
      </c>
    </row>
    <row r="74" spans="1:42" x14ac:dyDescent="0.2">
      <c r="A74" s="54" t="str">
        <f>Calculator!B58</f>
        <v>Gross energy production (MWh/MW/yr)</v>
      </c>
      <c r="B74" s="152">
        <f>$B$39/SUM(G74:AP74)</f>
        <v>38.870262142982007</v>
      </c>
      <c r="C74" s="154">
        <f t="shared" ref="C74:C81" si="19">B74/$B$43-1</f>
        <v>0</v>
      </c>
      <c r="G74" s="56">
        <f>G$41</f>
        <v>0</v>
      </c>
      <c r="H74" s="56">
        <f t="shared" ref="H74:K80" si="20">H$41</f>
        <v>0</v>
      </c>
      <c r="I74" s="56">
        <f t="shared" si="20"/>
        <v>0</v>
      </c>
      <c r="J74" s="56">
        <f t="shared" si="20"/>
        <v>0</v>
      </c>
      <c r="K74" s="56">
        <f t="shared" si="20"/>
        <v>0</v>
      </c>
      <c r="L74" s="57">
        <f>Calculator!$G$58*Calculator!$C$60*(1-Calculator!$C$61)*(1-Calculator!$C$62)*(1-Calculator!$C$63)*(1-Calculator!$C$64)*L$30*L$33*Calculator!$C$72</f>
        <v>3154870.2689389377</v>
      </c>
      <c r="M74" s="57">
        <f>Calculator!$G$58*Calculator!$C$60*(1-Calculator!$C$61)*(1-Calculator!$C$62)*(1-Calculator!$C$63)*(1-Calculator!$C$64)*M$30*M$33*Calculator!$C$72</f>
        <v>2990398.3591838279</v>
      </c>
      <c r="N74" s="57">
        <f>Calculator!$G$58*Calculator!$C$60*(1-Calculator!$C$61)*(1-Calculator!$C$62)*(1-Calculator!$C$63)*(1-Calculator!$C$64)*N$30*N$33*Calculator!$C$72</f>
        <v>2834500.8143922533</v>
      </c>
      <c r="O74" s="57">
        <f>Calculator!$G$58*Calculator!$C$60*(1-Calculator!$C$61)*(1-Calculator!$C$62)*(1-Calculator!$C$63)*(1-Calculator!$C$64)*O$30*O$33*Calculator!$C$72</f>
        <v>2686730.6297556912</v>
      </c>
      <c r="P74" s="57">
        <f>Calculator!$G$58*Calculator!$C$60*(1-Calculator!$C$61)*(1-Calculator!$C$62)*(1-Calculator!$C$63)*(1-Calculator!$C$64)*P$30*P$33*Calculator!$C$72</f>
        <v>2546664.1040338306</v>
      </c>
      <c r="Q74" s="57">
        <f>Calculator!$G$58*Calculator!$C$60*(1-Calculator!$C$61)*(1-Calculator!$C$62)*(1-Calculator!$C$63)*(1-Calculator!$C$64)*Q$30*Q$33*Calculator!$C$72</f>
        <v>2413899.6246766164</v>
      </c>
      <c r="R74" s="57">
        <f>Calculator!$G$58*Calculator!$C$60*(1-Calculator!$C$61)*(1-Calculator!$C$62)*(1-Calculator!$C$63)*(1-Calculator!$C$64)*R$30*R$33*Calculator!$C$72</f>
        <v>2288056.5162811531</v>
      </c>
      <c r="S74" s="57">
        <f>Calculator!$G$58*Calculator!$C$60*(1-Calculator!$C$61)*(1-Calculator!$C$62)*(1-Calculator!$C$63)*(1-Calculator!$C$64)*S$30*S$33*Calculator!$C$72</f>
        <v>2168773.9490816621</v>
      </c>
      <c r="T74" s="57">
        <f>Calculator!$G$58*Calculator!$C$60*(1-Calculator!$C$61)*(1-Calculator!$C$62)*(1-Calculator!$C$63)*(1-Calculator!$C$64)*T$30*T$33*Calculator!$C$72</f>
        <v>2055709.9043428074</v>
      </c>
      <c r="U74" s="57">
        <f>Calculator!$G$58*Calculator!$C$60*(1-Calculator!$C$61)*(1-Calculator!$C$62)*(1-Calculator!$C$63)*(1-Calculator!$C$64)*U$30*U$33*Calculator!$C$72</f>
        <v>1948540.1936898655</v>
      </c>
      <c r="V74" s="57">
        <f>Calculator!$G$58*Calculator!$C$60*(1-Calculator!$C$61)*(1-Calculator!$C$62)*(1-Calculator!$C$63)*(1-Calculator!$C$64)*V$30*V$33*Calculator!$C$72</f>
        <v>1846957.5295638535</v>
      </c>
      <c r="W74" s="57">
        <f>Calculator!$G$58*Calculator!$C$60*(1-Calculator!$C$61)*(1-Calculator!$C$62)*(1-Calculator!$C$63)*(1-Calculator!$C$64)*W$30*W$33*Calculator!$C$72</f>
        <v>1750670.6441363541</v>
      </c>
      <c r="X74" s="57">
        <f>Calculator!$G$58*Calculator!$C$60*(1-Calculator!$C$61)*(1-Calculator!$C$62)*(1-Calculator!$C$63)*(1-Calculator!$C$64)*X$30*X$33*Calculator!$C$72</f>
        <v>1659403.4541576819</v>
      </c>
      <c r="Y74" s="57">
        <f>Calculator!$G$58*Calculator!$C$60*(1-Calculator!$C$61)*(1-Calculator!$C$62)*(1-Calculator!$C$63)*(1-Calculator!$C$64)*Y$30*Y$33*Calculator!$C$72</f>
        <v>1572894.2693437743</v>
      </c>
      <c r="Z74" s="57">
        <f>Calculator!$G$58*Calculator!$C$60*(1-Calculator!$C$61)*(1-Calculator!$C$62)*(1-Calculator!$C$63)*(1-Calculator!$C$64)*Z$30*Z$33*Calculator!$C$72</f>
        <v>1490895.0420320136</v>
      </c>
      <c r="AA74" s="57">
        <f>Calculator!$G$58*Calculator!$C$60*(1-Calculator!$C$61)*(1-Calculator!$C$62)*(1-Calculator!$C$63)*(1-Calculator!$C$64)*AA$30*AA$33*Calculator!$C$72</f>
        <v>1413170.6559545153</v>
      </c>
      <c r="AB74" s="57">
        <f>Calculator!$G$58*Calculator!$C$60*(1-Calculator!$C$61)*(1-Calculator!$C$62)*(1-Calculator!$C$63)*(1-Calculator!$C$64)*AB$30*AB$33*Calculator!$C$72</f>
        <v>1339498.252089588</v>
      </c>
      <c r="AC74" s="57">
        <f>Calculator!$G$58*Calculator!$C$60*(1-Calculator!$C$61)*(1-Calculator!$C$62)*(1-Calculator!$C$63)*(1-Calculator!$C$64)*AC$30*AC$33*Calculator!$C$72</f>
        <v>1269666.5896583775</v>
      </c>
      <c r="AD74" s="57">
        <f>Calculator!$G$58*Calculator!$C$60*(1-Calculator!$C$61)*(1-Calculator!$C$62)*(1-Calculator!$C$63)*(1-Calculator!$C$64)*AD$30*AD$33*Calculator!$C$72</f>
        <v>1203475.440434481</v>
      </c>
      <c r="AE74" s="57">
        <f>Calculator!$G$58*Calculator!$C$60*(1-Calculator!$C$61)*(1-Calculator!$C$62)*(1-Calculator!$C$63)*(1-Calculator!$C$64)*AE$30*AE$33*Calculator!$C$72</f>
        <v>1140735.0146298399</v>
      </c>
      <c r="AF74" s="57">
        <f>Calculator!$G$58*Calculator!$C$60*(1-Calculator!$C$61)*(1-Calculator!$C$62)*(1-Calculator!$C$63)*(1-Calculator!$C$64)*AF$30*AF$33*Calculator!$C$72</f>
        <v>1081265.416710749</v>
      </c>
      <c r="AG74" s="57">
        <f>Calculator!$G$58*Calculator!$C$60*(1-Calculator!$C$61)*(1-Calculator!$C$62)*(1-Calculator!$C$63)*(1-Calculator!$C$64)*AG$30*AG$33*Calculator!$C$72</f>
        <v>1024896.1295836482</v>
      </c>
      <c r="AH74" s="57">
        <f>Calculator!$G$58*Calculator!$C$60*(1-Calculator!$C$61)*(1-Calculator!$C$62)*(1-Calculator!$C$63)*(1-Calculator!$C$64)*AH$30*AH$33*Calculator!$C$72</f>
        <v>971465.52567170456</v>
      </c>
      <c r="AI74" s="57">
        <f>Calculator!$G$58*Calculator!$C$60*(1-Calculator!$C$61)*(1-Calculator!$C$62)*(1-Calculator!$C$63)*(1-Calculator!$C$64)*AI$30*AI$33*Calculator!$C$72</f>
        <v>920820.40348028846</v>
      </c>
      <c r="AJ74" s="57">
        <f>Calculator!$G$58*Calculator!$C$60*(1-Calculator!$C$61)*(1-Calculator!$C$62)*(1-Calculator!$C$63)*(1-Calculator!$C$64)*AJ$30*AJ$33*Calculator!$C$72</f>
        <v>872815.54832254851</v>
      </c>
      <c r="AK74" s="57">
        <f>Calculator!$G$58*Calculator!$C$60*(1-Calculator!$C$61)*(1-Calculator!$C$62)*(1-Calculator!$C$63)*(1-Calculator!$C$64)*AK$30*AK$33*Calculator!$C$72</f>
        <v>827313.3159455437</v>
      </c>
      <c r="AL74" s="57">
        <f>Calculator!$G$58*Calculator!$C$60*(1-Calculator!$C$61)*(1-Calculator!$C$62)*(1-Calculator!$C$63)*(1-Calculator!$C$64)*AL$30*AL$33*Calculator!$C$72</f>
        <v>784183.23786307464</v>
      </c>
      <c r="AM74" s="57">
        <f>Calculator!$G$58*Calculator!$C$60*(1-Calculator!$C$61)*(1-Calculator!$C$62)*(1-Calculator!$C$63)*(1-Calculator!$C$64)*AM$30*AM$33*Calculator!$C$72</f>
        <v>743301.64726357791</v>
      </c>
      <c r="AN74" s="57">
        <f>Calculator!$G$58*Calculator!$C$60*(1-Calculator!$C$61)*(1-Calculator!$C$62)*(1-Calculator!$C$63)*(1-Calculator!$C$64)*AN$30*AN$33*Calculator!$C$72</f>
        <v>704551.32442045293</v>
      </c>
      <c r="AO74" s="57">
        <f>Calculator!$G$58*Calculator!$C$60*(1-Calculator!$C$61)*(1-Calculator!$C$62)*(1-Calculator!$C$63)*(1-Calculator!$C$64)*AO$30*AO$33*Calculator!$C$72</f>
        <v>667821.16058810719</v>
      </c>
      <c r="AP74" s="57">
        <f>Calculator!$G$58*Calculator!$C$60*(1-Calculator!$C$61)*(1-Calculator!$C$62)*(1-Calculator!$C$63)*(1-Calculator!$C$64)*AP$30*AP$33*Calculator!$C$72</f>
        <v>0</v>
      </c>
    </row>
    <row r="75" spans="1:42" x14ac:dyDescent="0.2">
      <c r="A75" s="54" t="str">
        <f>Calculator!B59</f>
        <v>Gross load factor</v>
      </c>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row>
    <row r="76" spans="1:42" x14ac:dyDescent="0.2">
      <c r="A76" s="54" t="str">
        <f>Calculator!B60</f>
        <v>Wind farm availability</v>
      </c>
      <c r="B76" s="152">
        <f t="shared" ref="B76:B81" si="21">$B$39/SUM(G76:AP76)</f>
        <v>38.870262142982007</v>
      </c>
      <c r="C76" s="154">
        <f t="shared" si="19"/>
        <v>0</v>
      </c>
      <c r="G76" s="56">
        <f>G$41</f>
        <v>0</v>
      </c>
      <c r="H76" s="56">
        <f t="shared" si="20"/>
        <v>0</v>
      </c>
      <c r="I76" s="56">
        <f t="shared" si="20"/>
        <v>0</v>
      </c>
      <c r="J76" s="56">
        <f t="shared" si="20"/>
        <v>0</v>
      </c>
      <c r="K76" s="56">
        <f t="shared" si="20"/>
        <v>0</v>
      </c>
      <c r="L76" s="57">
        <f>Calculator!$C$58*Calculator!$G$60*(1-Calculator!$C$61)*(1-Calculator!$C$62)*(1-Calculator!$C$63)*(1-Calculator!$C$64)*L$30*L$33*Calculator!$C$72</f>
        <v>3154870.2689389377</v>
      </c>
      <c r="M76" s="57">
        <f>Calculator!$C$58*Calculator!$G$60*(1-Calculator!$C$61)*(1-Calculator!$C$62)*(1-Calculator!$C$63)*(1-Calculator!$C$64)*M$30*M$33*Calculator!$C$72</f>
        <v>2990398.3591838279</v>
      </c>
      <c r="N76" s="57">
        <f>Calculator!$C$58*Calculator!$G$60*(1-Calculator!$C$61)*(1-Calculator!$C$62)*(1-Calculator!$C$63)*(1-Calculator!$C$64)*N$30*N$33*Calculator!$C$72</f>
        <v>2834500.8143922533</v>
      </c>
      <c r="O76" s="57">
        <f>Calculator!$C$58*Calculator!$G$60*(1-Calculator!$C$61)*(1-Calculator!$C$62)*(1-Calculator!$C$63)*(1-Calculator!$C$64)*O$30*O$33*Calculator!$C$72</f>
        <v>2686730.6297556912</v>
      </c>
      <c r="P76" s="57">
        <f>Calculator!$C$58*Calculator!$G$60*(1-Calculator!$C$61)*(1-Calculator!$C$62)*(1-Calculator!$C$63)*(1-Calculator!$C$64)*P$30*P$33*Calculator!$C$72</f>
        <v>2546664.1040338306</v>
      </c>
      <c r="Q76" s="57">
        <f>Calculator!$C$58*Calculator!$G$60*(1-Calculator!$C$61)*(1-Calculator!$C$62)*(1-Calculator!$C$63)*(1-Calculator!$C$64)*Q$30*Q$33*Calculator!$C$72</f>
        <v>2413899.6246766164</v>
      </c>
      <c r="R76" s="57">
        <f>Calculator!$C$58*Calculator!$G$60*(1-Calculator!$C$61)*(1-Calculator!$C$62)*(1-Calculator!$C$63)*(1-Calculator!$C$64)*R$30*R$33*Calculator!$C$72</f>
        <v>2288056.5162811531</v>
      </c>
      <c r="S76" s="57">
        <f>Calculator!$C$58*Calculator!$G$60*(1-Calculator!$C$61)*(1-Calculator!$C$62)*(1-Calculator!$C$63)*(1-Calculator!$C$64)*S$30*S$33*Calculator!$C$72</f>
        <v>2168773.9490816621</v>
      </c>
      <c r="T76" s="57">
        <f>Calculator!$C$58*Calculator!$G$60*(1-Calculator!$C$61)*(1-Calculator!$C$62)*(1-Calculator!$C$63)*(1-Calculator!$C$64)*T$30*T$33*Calculator!$C$72</f>
        <v>2055709.9043428074</v>
      </c>
      <c r="U76" s="57">
        <f>Calculator!$C$58*Calculator!$G$60*(1-Calculator!$C$61)*(1-Calculator!$C$62)*(1-Calculator!$C$63)*(1-Calculator!$C$64)*U$30*U$33*Calculator!$C$72</f>
        <v>1948540.1936898655</v>
      </c>
      <c r="V76" s="57">
        <f>Calculator!$C$58*Calculator!$G$60*(1-Calculator!$C$61)*(1-Calculator!$C$62)*(1-Calculator!$C$63)*(1-Calculator!$C$64)*V$30*V$33*Calculator!$C$72</f>
        <v>1846957.5295638535</v>
      </c>
      <c r="W76" s="57">
        <f>Calculator!$C$58*Calculator!$G$60*(1-Calculator!$C$61)*(1-Calculator!$C$62)*(1-Calculator!$C$63)*(1-Calculator!$C$64)*W$30*W$33*Calculator!$C$72</f>
        <v>1750670.6441363541</v>
      </c>
      <c r="X76" s="57">
        <f>Calculator!$C$58*Calculator!$G$60*(1-Calculator!$C$61)*(1-Calculator!$C$62)*(1-Calculator!$C$63)*(1-Calculator!$C$64)*X$30*X$33*Calculator!$C$72</f>
        <v>1659403.4541576819</v>
      </c>
      <c r="Y76" s="57">
        <f>Calculator!$C$58*Calculator!$G$60*(1-Calculator!$C$61)*(1-Calculator!$C$62)*(1-Calculator!$C$63)*(1-Calculator!$C$64)*Y$30*Y$33*Calculator!$C$72</f>
        <v>1572894.2693437743</v>
      </c>
      <c r="Z76" s="57">
        <f>Calculator!$C$58*Calculator!$G$60*(1-Calculator!$C$61)*(1-Calculator!$C$62)*(1-Calculator!$C$63)*(1-Calculator!$C$64)*Z$30*Z$33*Calculator!$C$72</f>
        <v>1490895.0420320136</v>
      </c>
      <c r="AA76" s="57">
        <f>Calculator!$C$58*Calculator!$G$60*(1-Calculator!$C$61)*(1-Calculator!$C$62)*(1-Calculator!$C$63)*(1-Calculator!$C$64)*AA$30*AA$33*Calculator!$C$72</f>
        <v>1413170.6559545153</v>
      </c>
      <c r="AB76" s="57">
        <f>Calculator!$C$58*Calculator!$G$60*(1-Calculator!$C$61)*(1-Calculator!$C$62)*(1-Calculator!$C$63)*(1-Calculator!$C$64)*AB$30*AB$33*Calculator!$C$72</f>
        <v>1339498.252089588</v>
      </c>
      <c r="AC76" s="57">
        <f>Calculator!$C$58*Calculator!$G$60*(1-Calculator!$C$61)*(1-Calculator!$C$62)*(1-Calculator!$C$63)*(1-Calculator!$C$64)*AC$30*AC$33*Calculator!$C$72</f>
        <v>1269666.5896583775</v>
      </c>
      <c r="AD76" s="57">
        <f>Calculator!$C$58*Calculator!$G$60*(1-Calculator!$C$61)*(1-Calculator!$C$62)*(1-Calculator!$C$63)*(1-Calculator!$C$64)*AD$30*AD$33*Calculator!$C$72</f>
        <v>1203475.440434481</v>
      </c>
      <c r="AE76" s="57">
        <f>Calculator!$C$58*Calculator!$G$60*(1-Calculator!$C$61)*(1-Calculator!$C$62)*(1-Calculator!$C$63)*(1-Calculator!$C$64)*AE$30*AE$33*Calculator!$C$72</f>
        <v>1140735.0146298399</v>
      </c>
      <c r="AF76" s="57">
        <f>Calculator!$C$58*Calculator!$G$60*(1-Calculator!$C$61)*(1-Calculator!$C$62)*(1-Calculator!$C$63)*(1-Calculator!$C$64)*AF$30*AF$33*Calculator!$C$72</f>
        <v>1081265.416710749</v>
      </c>
      <c r="AG76" s="57">
        <f>Calculator!$C$58*Calculator!$G$60*(1-Calculator!$C$61)*(1-Calculator!$C$62)*(1-Calculator!$C$63)*(1-Calculator!$C$64)*AG$30*AG$33*Calculator!$C$72</f>
        <v>1024896.1295836482</v>
      </c>
      <c r="AH76" s="57">
        <f>Calculator!$C$58*Calculator!$G$60*(1-Calculator!$C$61)*(1-Calculator!$C$62)*(1-Calculator!$C$63)*(1-Calculator!$C$64)*AH$30*AH$33*Calculator!$C$72</f>
        <v>971465.52567170456</v>
      </c>
      <c r="AI76" s="57">
        <f>Calculator!$C$58*Calculator!$G$60*(1-Calculator!$C$61)*(1-Calculator!$C$62)*(1-Calculator!$C$63)*(1-Calculator!$C$64)*AI$30*AI$33*Calculator!$C$72</f>
        <v>920820.40348028846</v>
      </c>
      <c r="AJ76" s="57">
        <f>Calculator!$C$58*Calculator!$G$60*(1-Calculator!$C$61)*(1-Calculator!$C$62)*(1-Calculator!$C$63)*(1-Calculator!$C$64)*AJ$30*AJ$33*Calculator!$C$72</f>
        <v>872815.54832254851</v>
      </c>
      <c r="AK76" s="57">
        <f>Calculator!$C$58*Calculator!$G$60*(1-Calculator!$C$61)*(1-Calculator!$C$62)*(1-Calculator!$C$63)*(1-Calculator!$C$64)*AK$30*AK$33*Calculator!$C$72</f>
        <v>827313.3159455437</v>
      </c>
      <c r="AL76" s="57">
        <f>Calculator!$C$58*Calculator!$G$60*(1-Calculator!$C$61)*(1-Calculator!$C$62)*(1-Calculator!$C$63)*(1-Calculator!$C$64)*AL$30*AL$33*Calculator!$C$72</f>
        <v>784183.23786307464</v>
      </c>
      <c r="AM76" s="57">
        <f>Calculator!$C$58*Calculator!$G$60*(1-Calculator!$C$61)*(1-Calculator!$C$62)*(1-Calculator!$C$63)*(1-Calculator!$C$64)*AM$30*AM$33*Calculator!$C$72</f>
        <v>743301.64726357791</v>
      </c>
      <c r="AN76" s="57">
        <f>Calculator!$C$58*Calculator!$G$60*(1-Calculator!$C$61)*(1-Calculator!$C$62)*(1-Calculator!$C$63)*(1-Calculator!$C$64)*AN$30*AN$33*Calculator!$C$72</f>
        <v>704551.32442045293</v>
      </c>
      <c r="AO76" s="57">
        <f>Calculator!$C$58*Calculator!$G$60*(1-Calculator!$C$61)*(1-Calculator!$C$62)*(1-Calculator!$C$63)*(1-Calculator!$C$64)*AO$30*AO$33*Calculator!$C$72</f>
        <v>667821.16058810719</v>
      </c>
      <c r="AP76" s="57">
        <f>Calculator!$C$58*Calculator!$G$60*(1-Calculator!$C$61)*(1-Calculator!$C$62)*(1-Calculator!$C$63)*(1-Calculator!$C$64)*AP$30*AP$33*Calculator!$C$72</f>
        <v>0</v>
      </c>
    </row>
    <row r="77" spans="1:42" x14ac:dyDescent="0.2">
      <c r="A77" s="54" t="str">
        <f>Calculator!B61</f>
        <v>Aerodynamic array losses</v>
      </c>
      <c r="B77" s="152">
        <f t="shared" si="21"/>
        <v>38.870262142982007</v>
      </c>
      <c r="C77" s="154">
        <f t="shared" si="19"/>
        <v>0</v>
      </c>
      <c r="G77" s="56">
        <f>G$41</f>
        <v>0</v>
      </c>
      <c r="H77" s="56">
        <f t="shared" si="20"/>
        <v>0</v>
      </c>
      <c r="I77" s="56">
        <f t="shared" si="20"/>
        <v>0</v>
      </c>
      <c r="J77" s="56">
        <f t="shared" si="20"/>
        <v>0</v>
      </c>
      <c r="K77" s="56">
        <f t="shared" si="20"/>
        <v>0</v>
      </c>
      <c r="L77" s="57">
        <f>Calculator!$C$58*Calculator!$C$60*(1-Calculator!$G$61)*(1-Calculator!$C$62)*(1-Calculator!$C$63)*(1-Calculator!$C$64)*L$30*L$33*Calculator!$C$72</f>
        <v>3154870.2689389377</v>
      </c>
      <c r="M77" s="57">
        <f>Calculator!$C$58*Calculator!$C$60*(1-Calculator!$G$61)*(1-Calculator!$C$62)*(1-Calculator!$C$63)*(1-Calculator!$C$64)*M$30*M$33*Calculator!$C$72</f>
        <v>2990398.3591838279</v>
      </c>
      <c r="N77" s="57">
        <f>Calculator!$C$58*Calculator!$C$60*(1-Calculator!$G$61)*(1-Calculator!$C$62)*(1-Calculator!$C$63)*(1-Calculator!$C$64)*N$30*N$33*Calculator!$C$72</f>
        <v>2834500.8143922533</v>
      </c>
      <c r="O77" s="57">
        <f>Calculator!$C$58*Calculator!$C$60*(1-Calculator!$G$61)*(1-Calculator!$C$62)*(1-Calculator!$C$63)*(1-Calculator!$C$64)*O$30*O$33*Calculator!$C$72</f>
        <v>2686730.6297556912</v>
      </c>
      <c r="P77" s="57">
        <f>Calculator!$C$58*Calculator!$C$60*(1-Calculator!$G$61)*(1-Calculator!$C$62)*(1-Calculator!$C$63)*(1-Calculator!$C$64)*P$30*P$33*Calculator!$C$72</f>
        <v>2546664.1040338306</v>
      </c>
      <c r="Q77" s="57">
        <f>Calculator!$C$58*Calculator!$C$60*(1-Calculator!$G$61)*(1-Calculator!$C$62)*(1-Calculator!$C$63)*(1-Calculator!$C$64)*Q$30*Q$33*Calculator!$C$72</f>
        <v>2413899.6246766164</v>
      </c>
      <c r="R77" s="57">
        <f>Calculator!$C$58*Calculator!$C$60*(1-Calculator!$G$61)*(1-Calculator!$C$62)*(1-Calculator!$C$63)*(1-Calculator!$C$64)*R$30*R$33*Calculator!$C$72</f>
        <v>2288056.5162811531</v>
      </c>
      <c r="S77" s="57">
        <f>Calculator!$C$58*Calculator!$C$60*(1-Calculator!$G$61)*(1-Calculator!$C$62)*(1-Calculator!$C$63)*(1-Calculator!$C$64)*S$30*S$33*Calculator!$C$72</f>
        <v>2168773.9490816621</v>
      </c>
      <c r="T77" s="57">
        <f>Calculator!$C$58*Calculator!$C$60*(1-Calculator!$G$61)*(1-Calculator!$C$62)*(1-Calculator!$C$63)*(1-Calculator!$C$64)*T$30*T$33*Calculator!$C$72</f>
        <v>2055709.9043428074</v>
      </c>
      <c r="U77" s="57">
        <f>Calculator!$C$58*Calculator!$C$60*(1-Calculator!$G$61)*(1-Calculator!$C$62)*(1-Calculator!$C$63)*(1-Calculator!$C$64)*U$30*U$33*Calculator!$C$72</f>
        <v>1948540.1936898655</v>
      </c>
      <c r="V77" s="57">
        <f>Calculator!$C$58*Calculator!$C$60*(1-Calculator!$G$61)*(1-Calculator!$C$62)*(1-Calculator!$C$63)*(1-Calculator!$C$64)*V$30*V$33*Calculator!$C$72</f>
        <v>1846957.5295638535</v>
      </c>
      <c r="W77" s="57">
        <f>Calculator!$C$58*Calculator!$C$60*(1-Calculator!$G$61)*(1-Calculator!$C$62)*(1-Calculator!$C$63)*(1-Calculator!$C$64)*W$30*W$33*Calculator!$C$72</f>
        <v>1750670.6441363541</v>
      </c>
      <c r="X77" s="57">
        <f>Calculator!$C$58*Calculator!$C$60*(1-Calculator!$G$61)*(1-Calculator!$C$62)*(1-Calculator!$C$63)*(1-Calculator!$C$64)*X$30*X$33*Calculator!$C$72</f>
        <v>1659403.4541576819</v>
      </c>
      <c r="Y77" s="57">
        <f>Calculator!$C$58*Calculator!$C$60*(1-Calculator!$G$61)*(1-Calculator!$C$62)*(1-Calculator!$C$63)*(1-Calculator!$C$64)*Y$30*Y$33*Calculator!$C$72</f>
        <v>1572894.2693437743</v>
      </c>
      <c r="Z77" s="57">
        <f>Calculator!$C$58*Calculator!$C$60*(1-Calculator!$G$61)*(1-Calculator!$C$62)*(1-Calculator!$C$63)*(1-Calculator!$C$64)*Z$30*Z$33*Calculator!$C$72</f>
        <v>1490895.0420320136</v>
      </c>
      <c r="AA77" s="57">
        <f>Calculator!$C$58*Calculator!$C$60*(1-Calculator!$G$61)*(1-Calculator!$C$62)*(1-Calculator!$C$63)*(1-Calculator!$C$64)*AA$30*AA$33*Calculator!$C$72</f>
        <v>1413170.6559545153</v>
      </c>
      <c r="AB77" s="57">
        <f>Calculator!$C$58*Calculator!$C$60*(1-Calculator!$G$61)*(1-Calculator!$C$62)*(1-Calculator!$C$63)*(1-Calculator!$C$64)*AB$30*AB$33*Calculator!$C$72</f>
        <v>1339498.252089588</v>
      </c>
      <c r="AC77" s="57">
        <f>Calculator!$C$58*Calculator!$C$60*(1-Calculator!$G$61)*(1-Calculator!$C$62)*(1-Calculator!$C$63)*(1-Calculator!$C$64)*AC$30*AC$33*Calculator!$C$72</f>
        <v>1269666.5896583775</v>
      </c>
      <c r="AD77" s="57">
        <f>Calculator!$C$58*Calculator!$C$60*(1-Calculator!$G$61)*(1-Calculator!$C$62)*(1-Calculator!$C$63)*(1-Calculator!$C$64)*AD$30*AD$33*Calculator!$C$72</f>
        <v>1203475.440434481</v>
      </c>
      <c r="AE77" s="57">
        <f>Calculator!$C$58*Calculator!$C$60*(1-Calculator!$G$61)*(1-Calculator!$C$62)*(1-Calculator!$C$63)*(1-Calculator!$C$64)*AE$30*AE$33*Calculator!$C$72</f>
        <v>1140735.0146298399</v>
      </c>
      <c r="AF77" s="57">
        <f>Calculator!$C$58*Calculator!$C$60*(1-Calculator!$G$61)*(1-Calculator!$C$62)*(1-Calculator!$C$63)*(1-Calculator!$C$64)*AF$30*AF$33*Calculator!$C$72</f>
        <v>1081265.416710749</v>
      </c>
      <c r="AG77" s="57">
        <f>Calculator!$C$58*Calculator!$C$60*(1-Calculator!$G$61)*(1-Calculator!$C$62)*(1-Calculator!$C$63)*(1-Calculator!$C$64)*AG$30*AG$33*Calculator!$C$72</f>
        <v>1024896.1295836482</v>
      </c>
      <c r="AH77" s="57">
        <f>Calculator!$C$58*Calculator!$C$60*(1-Calculator!$G$61)*(1-Calculator!$C$62)*(1-Calculator!$C$63)*(1-Calculator!$C$64)*AH$30*AH$33*Calculator!$C$72</f>
        <v>971465.52567170456</v>
      </c>
      <c r="AI77" s="57">
        <f>Calculator!$C$58*Calculator!$C$60*(1-Calculator!$G$61)*(1-Calculator!$C$62)*(1-Calculator!$C$63)*(1-Calculator!$C$64)*AI$30*AI$33*Calculator!$C$72</f>
        <v>920820.40348028846</v>
      </c>
      <c r="AJ77" s="57">
        <f>Calculator!$C$58*Calculator!$C$60*(1-Calculator!$G$61)*(1-Calculator!$C$62)*(1-Calculator!$C$63)*(1-Calculator!$C$64)*AJ$30*AJ$33*Calculator!$C$72</f>
        <v>872815.54832254851</v>
      </c>
      <c r="AK77" s="57">
        <f>Calculator!$C$58*Calculator!$C$60*(1-Calculator!$G$61)*(1-Calculator!$C$62)*(1-Calculator!$C$63)*(1-Calculator!$C$64)*AK$30*AK$33*Calculator!$C$72</f>
        <v>827313.3159455437</v>
      </c>
      <c r="AL77" s="57">
        <f>Calculator!$C$58*Calculator!$C$60*(1-Calculator!$G$61)*(1-Calculator!$C$62)*(1-Calculator!$C$63)*(1-Calculator!$C$64)*AL$30*AL$33*Calculator!$C$72</f>
        <v>784183.23786307464</v>
      </c>
      <c r="AM77" s="57">
        <f>Calculator!$C$58*Calculator!$C$60*(1-Calculator!$G$61)*(1-Calculator!$C$62)*(1-Calculator!$C$63)*(1-Calculator!$C$64)*AM$30*AM$33*Calculator!$C$72</f>
        <v>743301.64726357791</v>
      </c>
      <c r="AN77" s="57">
        <f>Calculator!$C$58*Calculator!$C$60*(1-Calculator!$G$61)*(1-Calculator!$C$62)*(1-Calculator!$C$63)*(1-Calculator!$C$64)*AN$30*AN$33*Calculator!$C$72</f>
        <v>704551.32442045293</v>
      </c>
      <c r="AO77" s="57">
        <f>Calculator!$C$58*Calculator!$C$60*(1-Calculator!$G$61)*(1-Calculator!$C$62)*(1-Calculator!$C$63)*(1-Calculator!$C$64)*AO$30*AO$33*Calculator!$C$72</f>
        <v>667821.16058810719</v>
      </c>
      <c r="AP77" s="57">
        <f>Calculator!$C$58*Calculator!$C$60*(1-Calculator!$G$61)*(1-Calculator!$C$62)*(1-Calculator!$C$63)*(1-Calculator!$C$64)*AP$30*AP$33*Calculator!$C$72</f>
        <v>0</v>
      </c>
    </row>
    <row r="78" spans="1:42" x14ac:dyDescent="0.2">
      <c r="A78" s="54" t="str">
        <f>Calculator!B62</f>
        <v>Electrical array losses</v>
      </c>
      <c r="B78" s="152">
        <f t="shared" si="21"/>
        <v>38.870262142982007</v>
      </c>
      <c r="C78" s="154">
        <f t="shared" si="19"/>
        <v>0</v>
      </c>
      <c r="G78" s="56">
        <f>G$41</f>
        <v>0</v>
      </c>
      <c r="H78" s="56">
        <f t="shared" si="20"/>
        <v>0</v>
      </c>
      <c r="I78" s="56">
        <f t="shared" si="20"/>
        <v>0</v>
      </c>
      <c r="J78" s="56">
        <f t="shared" si="20"/>
        <v>0</v>
      </c>
      <c r="K78" s="56">
        <f t="shared" si="20"/>
        <v>0</v>
      </c>
      <c r="L78" s="57">
        <f>Calculator!$C$58*Calculator!$C$60*(1-Calculator!$C$61)*(1-Calculator!$G$62)*(1-Calculator!$C$63)*(1-Calculator!$C$64)*L$30*L$33*Calculator!$C$72</f>
        <v>3154870.2689389377</v>
      </c>
      <c r="M78" s="57">
        <f>Calculator!$C$58*Calculator!$C$60*(1-Calculator!$C$61)*(1-Calculator!$G$62)*(1-Calculator!$C$63)*(1-Calculator!$C$64)*M$30*M$33*Calculator!$C$72</f>
        <v>2990398.3591838279</v>
      </c>
      <c r="N78" s="57">
        <f>Calculator!$C$58*Calculator!$C$60*(1-Calculator!$C$61)*(1-Calculator!$G$62)*(1-Calculator!$C$63)*(1-Calculator!$C$64)*N$30*N$33*Calculator!$C$72</f>
        <v>2834500.8143922533</v>
      </c>
      <c r="O78" s="57">
        <f>Calculator!$C$58*Calculator!$C$60*(1-Calculator!$C$61)*(1-Calculator!$G$62)*(1-Calculator!$C$63)*(1-Calculator!$C$64)*O$30*O$33*Calculator!$C$72</f>
        <v>2686730.6297556912</v>
      </c>
      <c r="P78" s="57">
        <f>Calculator!$C$58*Calculator!$C$60*(1-Calculator!$C$61)*(1-Calculator!$G$62)*(1-Calculator!$C$63)*(1-Calculator!$C$64)*P$30*P$33*Calculator!$C$72</f>
        <v>2546664.1040338306</v>
      </c>
      <c r="Q78" s="57">
        <f>Calculator!$C$58*Calculator!$C$60*(1-Calculator!$C$61)*(1-Calculator!$G$62)*(1-Calculator!$C$63)*(1-Calculator!$C$64)*Q$30*Q$33*Calculator!$C$72</f>
        <v>2413899.6246766164</v>
      </c>
      <c r="R78" s="57">
        <f>Calculator!$C$58*Calculator!$C$60*(1-Calculator!$C$61)*(1-Calculator!$G$62)*(1-Calculator!$C$63)*(1-Calculator!$C$64)*R$30*R$33*Calculator!$C$72</f>
        <v>2288056.5162811531</v>
      </c>
      <c r="S78" s="57">
        <f>Calculator!$C$58*Calculator!$C$60*(1-Calculator!$C$61)*(1-Calculator!$G$62)*(1-Calculator!$C$63)*(1-Calculator!$C$64)*S$30*S$33*Calculator!$C$72</f>
        <v>2168773.9490816621</v>
      </c>
      <c r="T78" s="57">
        <f>Calculator!$C$58*Calculator!$C$60*(1-Calculator!$C$61)*(1-Calculator!$G$62)*(1-Calculator!$C$63)*(1-Calculator!$C$64)*T$30*T$33*Calculator!$C$72</f>
        <v>2055709.9043428074</v>
      </c>
      <c r="U78" s="57">
        <f>Calculator!$C$58*Calculator!$C$60*(1-Calculator!$C$61)*(1-Calculator!$G$62)*(1-Calculator!$C$63)*(1-Calculator!$C$64)*U$30*U$33*Calculator!$C$72</f>
        <v>1948540.1936898655</v>
      </c>
      <c r="V78" s="57">
        <f>Calculator!$C$58*Calculator!$C$60*(1-Calculator!$C$61)*(1-Calculator!$G$62)*(1-Calculator!$C$63)*(1-Calculator!$C$64)*V$30*V$33*Calculator!$C$72</f>
        <v>1846957.5295638535</v>
      </c>
      <c r="W78" s="57">
        <f>Calculator!$C$58*Calculator!$C$60*(1-Calculator!$C$61)*(1-Calculator!$G$62)*(1-Calculator!$C$63)*(1-Calculator!$C$64)*W$30*W$33*Calculator!$C$72</f>
        <v>1750670.6441363541</v>
      </c>
      <c r="X78" s="57">
        <f>Calculator!$C$58*Calculator!$C$60*(1-Calculator!$C$61)*(1-Calculator!$G$62)*(1-Calculator!$C$63)*(1-Calculator!$C$64)*X$30*X$33*Calculator!$C$72</f>
        <v>1659403.4541576819</v>
      </c>
      <c r="Y78" s="57">
        <f>Calculator!$C$58*Calculator!$C$60*(1-Calculator!$C$61)*(1-Calculator!$G$62)*(1-Calculator!$C$63)*(1-Calculator!$C$64)*Y$30*Y$33*Calculator!$C$72</f>
        <v>1572894.2693437743</v>
      </c>
      <c r="Z78" s="57">
        <f>Calculator!$C$58*Calculator!$C$60*(1-Calculator!$C$61)*(1-Calculator!$G$62)*(1-Calculator!$C$63)*(1-Calculator!$C$64)*Z$30*Z$33*Calculator!$C$72</f>
        <v>1490895.0420320136</v>
      </c>
      <c r="AA78" s="57">
        <f>Calculator!$C$58*Calculator!$C$60*(1-Calculator!$C$61)*(1-Calculator!$G$62)*(1-Calculator!$C$63)*(1-Calculator!$C$64)*AA$30*AA$33*Calculator!$C$72</f>
        <v>1413170.6559545153</v>
      </c>
      <c r="AB78" s="57">
        <f>Calculator!$C$58*Calculator!$C$60*(1-Calculator!$C$61)*(1-Calculator!$G$62)*(1-Calculator!$C$63)*(1-Calculator!$C$64)*AB$30*AB$33*Calculator!$C$72</f>
        <v>1339498.252089588</v>
      </c>
      <c r="AC78" s="57">
        <f>Calculator!$C$58*Calculator!$C$60*(1-Calculator!$C$61)*(1-Calculator!$G$62)*(1-Calculator!$C$63)*(1-Calculator!$C$64)*AC$30*AC$33*Calculator!$C$72</f>
        <v>1269666.5896583775</v>
      </c>
      <c r="AD78" s="57">
        <f>Calculator!$C$58*Calculator!$C$60*(1-Calculator!$C$61)*(1-Calculator!$G$62)*(1-Calculator!$C$63)*(1-Calculator!$C$64)*AD$30*AD$33*Calculator!$C$72</f>
        <v>1203475.440434481</v>
      </c>
      <c r="AE78" s="57">
        <f>Calculator!$C$58*Calculator!$C$60*(1-Calculator!$C$61)*(1-Calculator!$G$62)*(1-Calculator!$C$63)*(1-Calculator!$C$64)*AE$30*AE$33*Calculator!$C$72</f>
        <v>1140735.0146298399</v>
      </c>
      <c r="AF78" s="57">
        <f>Calculator!$C$58*Calculator!$C$60*(1-Calculator!$C$61)*(1-Calculator!$G$62)*(1-Calculator!$C$63)*(1-Calculator!$C$64)*AF$30*AF$33*Calculator!$C$72</f>
        <v>1081265.416710749</v>
      </c>
      <c r="AG78" s="57">
        <f>Calculator!$C$58*Calculator!$C$60*(1-Calculator!$C$61)*(1-Calculator!$G$62)*(1-Calculator!$C$63)*(1-Calculator!$C$64)*AG$30*AG$33*Calculator!$C$72</f>
        <v>1024896.1295836482</v>
      </c>
      <c r="AH78" s="57">
        <f>Calculator!$C$58*Calculator!$C$60*(1-Calculator!$C$61)*(1-Calculator!$G$62)*(1-Calculator!$C$63)*(1-Calculator!$C$64)*AH$30*AH$33*Calculator!$C$72</f>
        <v>971465.52567170456</v>
      </c>
      <c r="AI78" s="57">
        <f>Calculator!$C$58*Calculator!$C$60*(1-Calculator!$C$61)*(1-Calculator!$G$62)*(1-Calculator!$C$63)*(1-Calculator!$C$64)*AI$30*AI$33*Calculator!$C$72</f>
        <v>920820.40348028846</v>
      </c>
      <c r="AJ78" s="57">
        <f>Calculator!$C$58*Calculator!$C$60*(1-Calculator!$C$61)*(1-Calculator!$G$62)*(1-Calculator!$C$63)*(1-Calculator!$C$64)*AJ$30*AJ$33*Calculator!$C$72</f>
        <v>872815.54832254851</v>
      </c>
      <c r="AK78" s="57">
        <f>Calculator!$C$58*Calculator!$C$60*(1-Calculator!$C$61)*(1-Calculator!$G$62)*(1-Calculator!$C$63)*(1-Calculator!$C$64)*AK$30*AK$33*Calculator!$C$72</f>
        <v>827313.3159455437</v>
      </c>
      <c r="AL78" s="57">
        <f>Calculator!$C$58*Calculator!$C$60*(1-Calculator!$C$61)*(1-Calculator!$G$62)*(1-Calculator!$C$63)*(1-Calculator!$C$64)*AL$30*AL$33*Calculator!$C$72</f>
        <v>784183.23786307464</v>
      </c>
      <c r="AM78" s="57">
        <f>Calculator!$C$58*Calculator!$C$60*(1-Calculator!$C$61)*(1-Calculator!$G$62)*(1-Calculator!$C$63)*(1-Calculator!$C$64)*AM$30*AM$33*Calculator!$C$72</f>
        <v>743301.64726357791</v>
      </c>
      <c r="AN78" s="57">
        <f>Calculator!$C$58*Calculator!$C$60*(1-Calculator!$C$61)*(1-Calculator!$G$62)*(1-Calculator!$C$63)*(1-Calculator!$C$64)*AN$30*AN$33*Calculator!$C$72</f>
        <v>704551.32442045293</v>
      </c>
      <c r="AO78" s="57">
        <f>Calculator!$C$58*Calculator!$C$60*(1-Calculator!$C$61)*(1-Calculator!$G$62)*(1-Calculator!$C$63)*(1-Calculator!$C$64)*AO$30*AO$33*Calculator!$C$72</f>
        <v>667821.16058810719</v>
      </c>
      <c r="AP78" s="57">
        <f>Calculator!$C$58*Calculator!$C$60*(1-Calculator!$C$61)*(1-Calculator!$G$62)*(1-Calculator!$C$63)*(1-Calculator!$C$64)*AP$30*AP$33*Calculator!$C$72</f>
        <v>0</v>
      </c>
    </row>
    <row r="79" spans="1:42" x14ac:dyDescent="0.2">
      <c r="A79" s="148" t="s">
        <v>198</v>
      </c>
      <c r="B79" s="152">
        <f t="shared" si="21"/>
        <v>38.870262142982007</v>
      </c>
      <c r="C79" s="154">
        <f t="shared" ref="C79" si="22">B79/$B$43-1</f>
        <v>0</v>
      </c>
      <c r="G79" s="56">
        <f>G$41</f>
        <v>0</v>
      </c>
      <c r="H79" s="56">
        <f t="shared" si="20"/>
        <v>0</v>
      </c>
      <c r="I79" s="56">
        <f t="shared" si="20"/>
        <v>0</v>
      </c>
      <c r="J79" s="56">
        <f t="shared" si="20"/>
        <v>0</v>
      </c>
      <c r="K79" s="56">
        <f t="shared" si="20"/>
        <v>0</v>
      </c>
      <c r="L79" s="57">
        <f>Calculator!$C$58*Calculator!$C$60*(1-Calculator!$C$61)*(1-Calculator!$C$62)*(1-Calculator!$G$63)*(1-Calculator!$C$64)*L$30*L$33*Calculator!$C$72</f>
        <v>3154870.2689389377</v>
      </c>
      <c r="M79" s="57">
        <f>Calculator!$C$58*Calculator!$C$60*(1-Calculator!$C$61)*(1-Calculator!$C$62)*(1-Calculator!$G$63)*(1-Calculator!$C$64)*M$30*M$33*Calculator!$C$72</f>
        <v>2990398.3591838279</v>
      </c>
      <c r="N79" s="57">
        <f>Calculator!$C$58*Calculator!$C$60*(1-Calculator!$C$61)*(1-Calculator!$C$62)*(1-Calculator!$G$63)*(1-Calculator!$C$64)*N$30*N$33*Calculator!$C$72</f>
        <v>2834500.8143922533</v>
      </c>
      <c r="O79" s="57">
        <f>Calculator!$C$58*Calculator!$C$60*(1-Calculator!$C$61)*(1-Calculator!$C$62)*(1-Calculator!$G$63)*(1-Calculator!$C$64)*O$30*O$33*Calculator!$C$72</f>
        <v>2686730.6297556912</v>
      </c>
      <c r="P79" s="57">
        <f>Calculator!$C$58*Calculator!$C$60*(1-Calculator!$C$61)*(1-Calculator!$C$62)*(1-Calculator!$G$63)*(1-Calculator!$C$64)*P$30*P$33*Calculator!$C$72</f>
        <v>2546664.1040338306</v>
      </c>
      <c r="Q79" s="57">
        <f>Calculator!$C$58*Calculator!$C$60*(1-Calculator!$C$61)*(1-Calculator!$C$62)*(1-Calculator!$G$63)*(1-Calculator!$C$64)*Q$30*Q$33*Calculator!$C$72</f>
        <v>2413899.6246766164</v>
      </c>
      <c r="R79" s="57">
        <f>Calculator!$C$58*Calculator!$C$60*(1-Calculator!$C$61)*(1-Calculator!$C$62)*(1-Calculator!$G$63)*(1-Calculator!$C$64)*R$30*R$33*Calculator!$C$72</f>
        <v>2288056.5162811531</v>
      </c>
      <c r="S79" s="57">
        <f>Calculator!$C$58*Calculator!$C$60*(1-Calculator!$C$61)*(1-Calculator!$C$62)*(1-Calculator!$G$63)*(1-Calculator!$C$64)*S$30*S$33*Calculator!$C$72</f>
        <v>2168773.9490816621</v>
      </c>
      <c r="T79" s="57">
        <f>Calculator!$C$58*Calculator!$C$60*(1-Calculator!$C$61)*(1-Calculator!$C$62)*(1-Calculator!$G$63)*(1-Calculator!$C$64)*T$30*T$33*Calculator!$C$72</f>
        <v>2055709.9043428074</v>
      </c>
      <c r="U79" s="57">
        <f>Calculator!$C$58*Calculator!$C$60*(1-Calculator!$C$61)*(1-Calculator!$C$62)*(1-Calculator!$G$63)*(1-Calculator!$C$64)*U$30*U$33*Calculator!$C$72</f>
        <v>1948540.1936898655</v>
      </c>
      <c r="V79" s="57">
        <f>Calculator!$C$58*Calculator!$C$60*(1-Calculator!$C$61)*(1-Calculator!$C$62)*(1-Calculator!$G$63)*(1-Calculator!$C$64)*V$30*V$33*Calculator!$C$72</f>
        <v>1846957.5295638535</v>
      </c>
      <c r="W79" s="57">
        <f>Calculator!$C$58*Calculator!$C$60*(1-Calculator!$C$61)*(1-Calculator!$C$62)*(1-Calculator!$G$63)*(1-Calculator!$C$64)*W$30*W$33*Calculator!$C$72</f>
        <v>1750670.6441363541</v>
      </c>
      <c r="X79" s="57">
        <f>Calculator!$C$58*Calculator!$C$60*(1-Calculator!$C$61)*(1-Calculator!$C$62)*(1-Calculator!$G$63)*(1-Calculator!$C$64)*X$30*X$33*Calculator!$C$72</f>
        <v>1659403.4541576819</v>
      </c>
      <c r="Y79" s="57">
        <f>Calculator!$C$58*Calculator!$C$60*(1-Calculator!$C$61)*(1-Calculator!$C$62)*(1-Calculator!$G$63)*(1-Calculator!$C$64)*Y$30*Y$33*Calculator!$C$72</f>
        <v>1572894.2693437743</v>
      </c>
      <c r="Z79" s="57">
        <f>Calculator!$C$58*Calculator!$C$60*(1-Calculator!$C$61)*(1-Calculator!$C$62)*(1-Calculator!$G$63)*(1-Calculator!$C$64)*Z$30*Z$33*Calculator!$C$72</f>
        <v>1490895.0420320136</v>
      </c>
      <c r="AA79" s="57">
        <f>Calculator!$C$58*Calculator!$C$60*(1-Calculator!$C$61)*(1-Calculator!$C$62)*(1-Calculator!$G$63)*(1-Calculator!$C$64)*AA$30*AA$33*Calculator!$C$72</f>
        <v>1413170.6559545153</v>
      </c>
      <c r="AB79" s="57">
        <f>Calculator!$C$58*Calculator!$C$60*(1-Calculator!$C$61)*(1-Calculator!$C$62)*(1-Calculator!$G$63)*(1-Calculator!$C$64)*AB$30*AB$33*Calculator!$C$72</f>
        <v>1339498.252089588</v>
      </c>
      <c r="AC79" s="57">
        <f>Calculator!$C$58*Calculator!$C$60*(1-Calculator!$C$61)*(1-Calculator!$C$62)*(1-Calculator!$G$63)*(1-Calculator!$C$64)*AC$30*AC$33*Calculator!$C$72</f>
        <v>1269666.5896583775</v>
      </c>
      <c r="AD79" s="57">
        <f>Calculator!$C$58*Calculator!$C$60*(1-Calculator!$C$61)*(1-Calculator!$C$62)*(1-Calculator!$G$63)*(1-Calculator!$C$64)*AD$30*AD$33*Calculator!$C$72</f>
        <v>1203475.440434481</v>
      </c>
      <c r="AE79" s="57">
        <f>Calculator!$C$58*Calculator!$C$60*(1-Calculator!$C$61)*(1-Calculator!$C$62)*(1-Calculator!$G$63)*(1-Calculator!$C$64)*AE$30*AE$33*Calculator!$C$72</f>
        <v>1140735.0146298399</v>
      </c>
      <c r="AF79" s="57">
        <f>Calculator!$C$58*Calculator!$C$60*(1-Calculator!$C$61)*(1-Calculator!$C$62)*(1-Calculator!$G$63)*(1-Calculator!$C$64)*AF$30*AF$33*Calculator!$C$72</f>
        <v>1081265.416710749</v>
      </c>
      <c r="AG79" s="57">
        <f>Calculator!$C$58*Calculator!$C$60*(1-Calculator!$C$61)*(1-Calculator!$C$62)*(1-Calculator!$G$63)*(1-Calculator!$C$64)*AG$30*AG$33*Calculator!$C$72</f>
        <v>1024896.1295836482</v>
      </c>
      <c r="AH79" s="57">
        <f>Calculator!$C$58*Calculator!$C$60*(1-Calculator!$C$61)*(1-Calculator!$C$62)*(1-Calculator!$G$63)*(1-Calculator!$C$64)*AH$30*AH$33*Calculator!$C$72</f>
        <v>971465.52567170456</v>
      </c>
      <c r="AI79" s="57">
        <f>Calculator!$C$58*Calculator!$C$60*(1-Calculator!$C$61)*(1-Calculator!$C$62)*(1-Calculator!$G$63)*(1-Calculator!$C$64)*AI$30*AI$33*Calculator!$C$72</f>
        <v>920820.40348028846</v>
      </c>
      <c r="AJ79" s="57">
        <f>Calculator!$C$58*Calculator!$C$60*(1-Calculator!$C$61)*(1-Calculator!$C$62)*(1-Calculator!$G$63)*(1-Calculator!$C$64)*AJ$30*AJ$33*Calculator!$C$72</f>
        <v>872815.54832254851</v>
      </c>
      <c r="AK79" s="57">
        <f>Calculator!$C$58*Calculator!$C$60*(1-Calculator!$C$61)*(1-Calculator!$C$62)*(1-Calculator!$G$63)*(1-Calculator!$C$64)*AK$30*AK$33*Calculator!$C$72</f>
        <v>827313.3159455437</v>
      </c>
      <c r="AL79" s="57">
        <f>Calculator!$C$58*Calculator!$C$60*(1-Calculator!$C$61)*(1-Calculator!$C$62)*(1-Calculator!$G$63)*(1-Calculator!$C$64)*AL$30*AL$33*Calculator!$C$72</f>
        <v>784183.23786307464</v>
      </c>
      <c r="AM79" s="57">
        <f>Calculator!$C$58*Calculator!$C$60*(1-Calculator!$C$61)*(1-Calculator!$C$62)*(1-Calculator!$G$63)*(1-Calculator!$C$64)*AM$30*AM$33*Calculator!$C$72</f>
        <v>743301.64726357791</v>
      </c>
      <c r="AN79" s="57">
        <f>Calculator!$C$58*Calculator!$C$60*(1-Calculator!$C$61)*(1-Calculator!$C$62)*(1-Calculator!$G$63)*(1-Calculator!$C$64)*AN$30*AN$33*Calculator!$C$72</f>
        <v>704551.32442045293</v>
      </c>
      <c r="AO79" s="57">
        <f>Calculator!$C$58*Calculator!$C$60*(1-Calculator!$C$61)*(1-Calculator!$C$62)*(1-Calculator!$G$63)*(1-Calculator!$C$64)*AO$30*AO$33*Calculator!$C$72</f>
        <v>667821.16058810719</v>
      </c>
      <c r="AP79" s="57">
        <f>Calculator!$C$58*Calculator!$C$60*(1-Calculator!$C$61)*(1-Calculator!$C$62)*(1-Calculator!$G$63)*(1-Calculator!$C$64)*AP$30*AP$33*Calculator!$C$72</f>
        <v>0</v>
      </c>
    </row>
    <row r="80" spans="1:42" x14ac:dyDescent="0.2">
      <c r="A80" s="54" t="str">
        <f>Calculator!B64</f>
        <v>Other losses</v>
      </c>
      <c r="B80" s="152">
        <f t="shared" si="21"/>
        <v>38.870262142982007</v>
      </c>
      <c r="C80" s="154">
        <f t="shared" si="19"/>
        <v>0</v>
      </c>
      <c r="G80" s="56">
        <f>G$41</f>
        <v>0</v>
      </c>
      <c r="H80" s="56">
        <f t="shared" si="20"/>
        <v>0</v>
      </c>
      <c r="I80" s="56">
        <f t="shared" si="20"/>
        <v>0</v>
      </c>
      <c r="J80" s="56">
        <f t="shared" si="20"/>
        <v>0</v>
      </c>
      <c r="K80" s="56">
        <f t="shared" si="20"/>
        <v>0</v>
      </c>
      <c r="L80" s="57">
        <f>Calculator!$C$58*Calculator!$C$60*(1-Calculator!$C$61)*(1-Calculator!$C$62)*(1-Calculator!$C$63)*(1-Calculator!$G$64)*L$30*L$33*Calculator!$C$72</f>
        <v>3154870.2689389377</v>
      </c>
      <c r="M80" s="57">
        <f>Calculator!$C$58*Calculator!$C$60*(1-Calculator!$C$61)*(1-Calculator!$C$62)*(1-Calculator!$C$63)*(1-Calculator!$G$64)*M$30*M$33*Calculator!$C$72</f>
        <v>2990398.3591838279</v>
      </c>
      <c r="N80" s="57">
        <f>Calculator!$C$58*Calculator!$C$60*(1-Calculator!$C$61)*(1-Calculator!$C$62)*(1-Calculator!$C$63)*(1-Calculator!$G$64)*N$30*N$33*Calculator!$C$72</f>
        <v>2834500.8143922533</v>
      </c>
      <c r="O80" s="57">
        <f>Calculator!$C$58*Calculator!$C$60*(1-Calculator!$C$61)*(1-Calculator!$C$62)*(1-Calculator!$C$63)*(1-Calculator!$G$64)*O$30*O$33*Calculator!$C$72</f>
        <v>2686730.6297556912</v>
      </c>
      <c r="P80" s="57">
        <f>Calculator!$C$58*Calculator!$C$60*(1-Calculator!$C$61)*(1-Calculator!$C$62)*(1-Calculator!$C$63)*(1-Calculator!$G$64)*P$30*P$33*Calculator!$C$72</f>
        <v>2546664.1040338306</v>
      </c>
      <c r="Q80" s="57">
        <f>Calculator!$C$58*Calculator!$C$60*(1-Calculator!$C$61)*(1-Calculator!$C$62)*(1-Calculator!$C$63)*(1-Calculator!$G$64)*Q$30*Q$33*Calculator!$C$72</f>
        <v>2413899.6246766164</v>
      </c>
      <c r="R80" s="57">
        <f>Calculator!$C$58*Calculator!$C$60*(1-Calculator!$C$61)*(1-Calculator!$C$62)*(1-Calculator!$C$63)*(1-Calculator!$G$64)*R$30*R$33*Calculator!$C$72</f>
        <v>2288056.5162811531</v>
      </c>
      <c r="S80" s="57">
        <f>Calculator!$C$58*Calculator!$C$60*(1-Calculator!$C$61)*(1-Calculator!$C$62)*(1-Calculator!$C$63)*(1-Calculator!$G$64)*S$30*S$33*Calculator!$C$72</f>
        <v>2168773.9490816621</v>
      </c>
      <c r="T80" s="57">
        <f>Calculator!$C$58*Calculator!$C$60*(1-Calculator!$C$61)*(1-Calculator!$C$62)*(1-Calculator!$C$63)*(1-Calculator!$G$64)*T$30*T$33*Calculator!$C$72</f>
        <v>2055709.9043428074</v>
      </c>
      <c r="U80" s="57">
        <f>Calculator!$C$58*Calculator!$C$60*(1-Calculator!$C$61)*(1-Calculator!$C$62)*(1-Calculator!$C$63)*(1-Calculator!$G$64)*U$30*U$33*Calculator!$C$72</f>
        <v>1948540.1936898655</v>
      </c>
      <c r="V80" s="57">
        <f>Calculator!$C$58*Calculator!$C$60*(1-Calculator!$C$61)*(1-Calculator!$C$62)*(1-Calculator!$C$63)*(1-Calculator!$G$64)*V$30*V$33*Calculator!$C$72</f>
        <v>1846957.5295638535</v>
      </c>
      <c r="W80" s="57">
        <f>Calculator!$C$58*Calculator!$C$60*(1-Calculator!$C$61)*(1-Calculator!$C$62)*(1-Calculator!$C$63)*(1-Calculator!$G$64)*W$30*W$33*Calculator!$C$72</f>
        <v>1750670.6441363541</v>
      </c>
      <c r="X80" s="57">
        <f>Calculator!$C$58*Calculator!$C$60*(1-Calculator!$C$61)*(1-Calculator!$C$62)*(1-Calculator!$C$63)*(1-Calculator!$G$64)*X$30*X$33*Calculator!$C$72</f>
        <v>1659403.4541576819</v>
      </c>
      <c r="Y80" s="57">
        <f>Calculator!$C$58*Calculator!$C$60*(1-Calculator!$C$61)*(1-Calculator!$C$62)*(1-Calculator!$C$63)*(1-Calculator!$G$64)*Y$30*Y$33*Calculator!$C$72</f>
        <v>1572894.2693437743</v>
      </c>
      <c r="Z80" s="57">
        <f>Calculator!$C$58*Calculator!$C$60*(1-Calculator!$C$61)*(1-Calculator!$C$62)*(1-Calculator!$C$63)*(1-Calculator!$G$64)*Z$30*Z$33*Calculator!$C$72</f>
        <v>1490895.0420320136</v>
      </c>
      <c r="AA80" s="57">
        <f>Calculator!$C$58*Calculator!$C$60*(1-Calculator!$C$61)*(1-Calculator!$C$62)*(1-Calculator!$C$63)*(1-Calculator!$G$64)*AA$30*AA$33*Calculator!$C$72</f>
        <v>1413170.6559545153</v>
      </c>
      <c r="AB80" s="57">
        <f>Calculator!$C$58*Calculator!$C$60*(1-Calculator!$C$61)*(1-Calculator!$C$62)*(1-Calculator!$C$63)*(1-Calculator!$G$64)*AB$30*AB$33*Calculator!$C$72</f>
        <v>1339498.252089588</v>
      </c>
      <c r="AC80" s="57">
        <f>Calculator!$C$58*Calculator!$C$60*(1-Calculator!$C$61)*(1-Calculator!$C$62)*(1-Calculator!$C$63)*(1-Calculator!$G$64)*AC$30*AC$33*Calculator!$C$72</f>
        <v>1269666.5896583775</v>
      </c>
      <c r="AD80" s="57">
        <f>Calculator!$C$58*Calculator!$C$60*(1-Calculator!$C$61)*(1-Calculator!$C$62)*(1-Calculator!$C$63)*(1-Calculator!$G$64)*AD$30*AD$33*Calculator!$C$72</f>
        <v>1203475.440434481</v>
      </c>
      <c r="AE80" s="57">
        <f>Calculator!$C$58*Calculator!$C$60*(1-Calculator!$C$61)*(1-Calculator!$C$62)*(1-Calculator!$C$63)*(1-Calculator!$G$64)*AE$30*AE$33*Calculator!$C$72</f>
        <v>1140735.0146298399</v>
      </c>
      <c r="AF80" s="57">
        <f>Calculator!$C$58*Calculator!$C$60*(1-Calculator!$C$61)*(1-Calculator!$C$62)*(1-Calculator!$C$63)*(1-Calculator!$G$64)*AF$30*AF$33*Calculator!$C$72</f>
        <v>1081265.416710749</v>
      </c>
      <c r="AG80" s="57">
        <f>Calculator!$C$58*Calculator!$C$60*(1-Calculator!$C$61)*(1-Calculator!$C$62)*(1-Calculator!$C$63)*(1-Calculator!$G$64)*AG$30*AG$33*Calculator!$C$72</f>
        <v>1024896.1295836482</v>
      </c>
      <c r="AH80" s="57">
        <f>Calculator!$C$58*Calculator!$C$60*(1-Calculator!$C$61)*(1-Calculator!$C$62)*(1-Calculator!$C$63)*(1-Calculator!$G$64)*AH$30*AH$33*Calculator!$C$72</f>
        <v>971465.52567170456</v>
      </c>
      <c r="AI80" s="57">
        <f>Calculator!$C$58*Calculator!$C$60*(1-Calculator!$C$61)*(1-Calculator!$C$62)*(1-Calculator!$C$63)*(1-Calculator!$G$64)*AI$30*AI$33*Calculator!$C$72</f>
        <v>920820.40348028846</v>
      </c>
      <c r="AJ80" s="57">
        <f>Calculator!$C$58*Calculator!$C$60*(1-Calculator!$C$61)*(1-Calculator!$C$62)*(1-Calculator!$C$63)*(1-Calculator!$G$64)*AJ$30*AJ$33*Calculator!$C$72</f>
        <v>872815.54832254851</v>
      </c>
      <c r="AK80" s="57">
        <f>Calculator!$C$58*Calculator!$C$60*(1-Calculator!$C$61)*(1-Calculator!$C$62)*(1-Calculator!$C$63)*(1-Calculator!$G$64)*AK$30*AK$33*Calculator!$C$72</f>
        <v>827313.3159455437</v>
      </c>
      <c r="AL80" s="57">
        <f>Calculator!$C$58*Calculator!$C$60*(1-Calculator!$C$61)*(1-Calculator!$C$62)*(1-Calculator!$C$63)*(1-Calculator!$G$64)*AL$30*AL$33*Calculator!$C$72</f>
        <v>784183.23786307464</v>
      </c>
      <c r="AM80" s="57">
        <f>Calculator!$C$58*Calculator!$C$60*(1-Calculator!$C$61)*(1-Calculator!$C$62)*(1-Calculator!$C$63)*(1-Calculator!$G$64)*AM$30*AM$33*Calculator!$C$72</f>
        <v>743301.64726357791</v>
      </c>
      <c r="AN80" s="57">
        <f>Calculator!$C$58*Calculator!$C$60*(1-Calculator!$C$61)*(1-Calculator!$C$62)*(1-Calculator!$C$63)*(1-Calculator!$G$64)*AN$30*AN$33*Calculator!$C$72</f>
        <v>704551.32442045293</v>
      </c>
      <c r="AO80" s="57">
        <f>Calculator!$C$58*Calculator!$C$60*(1-Calculator!$C$61)*(1-Calculator!$C$62)*(1-Calculator!$C$63)*(1-Calculator!$G$64)*AO$30*AO$33*Calculator!$C$72</f>
        <v>667821.16058810719</v>
      </c>
      <c r="AP80" s="57">
        <f>Calculator!$C$58*Calculator!$C$60*(1-Calculator!$C$61)*(1-Calculator!$C$62)*(1-Calculator!$C$63)*(1-Calculator!$G$64)*AP$30*AP$33*Calculator!$C$72</f>
        <v>0</v>
      </c>
    </row>
    <row r="81" spans="1:42" s="159" customFormat="1" x14ac:dyDescent="0.2">
      <c r="A81" s="156" t="str">
        <f>Calculator!B65</f>
        <v>Net energy production (MWh/MW/yr)</v>
      </c>
      <c r="B81" s="157">
        <f t="shared" si="21"/>
        <v>38.870262142982007</v>
      </c>
      <c r="C81" s="158">
        <f t="shared" si="19"/>
        <v>0</v>
      </c>
      <c r="F81" s="160"/>
      <c r="K81" s="161"/>
      <c r="L81" s="162">
        <f>Calculator!$G$58*Calculator!$G$60*(1-Calculator!$G$61)*(1-Calculator!$G$62)*(1-Calculator!$G$63)*(1-Calculator!$G$64)*L$30*L$33*Calculator!$C$72</f>
        <v>3154870.2689389377</v>
      </c>
      <c r="M81" s="162">
        <f>Calculator!$G$58*Calculator!$G$60*(1-Calculator!$G$61)*(1-Calculator!$G$62)*(1-Calculator!$G$63)*(1-Calculator!$G$64)*M$30*M$33*Calculator!$C$72</f>
        <v>2990398.3591838279</v>
      </c>
      <c r="N81" s="162">
        <f>Calculator!$G$58*Calculator!$G$60*(1-Calculator!$G$61)*(1-Calculator!$G$62)*(1-Calculator!$G$63)*(1-Calculator!$G$64)*N$30*N$33*Calculator!$C$72</f>
        <v>2834500.8143922533</v>
      </c>
      <c r="O81" s="162">
        <f>Calculator!$G$58*Calculator!$G$60*(1-Calculator!$G$61)*(1-Calculator!$G$62)*(1-Calculator!$G$63)*(1-Calculator!$G$64)*O$30*O$33*Calculator!$C$72</f>
        <v>2686730.6297556912</v>
      </c>
      <c r="P81" s="162">
        <f>Calculator!$G$58*Calculator!$G$60*(1-Calculator!$G$61)*(1-Calculator!$G$62)*(1-Calculator!$G$63)*(1-Calculator!$G$64)*P$30*P$33*Calculator!$C$72</f>
        <v>2546664.1040338306</v>
      </c>
      <c r="Q81" s="162">
        <f>Calculator!$G$58*Calculator!$G$60*(1-Calculator!$G$61)*(1-Calculator!$G$62)*(1-Calculator!$G$63)*(1-Calculator!$G$64)*Q$30*Q$33*Calculator!$C$72</f>
        <v>2413899.6246766164</v>
      </c>
      <c r="R81" s="162">
        <f>Calculator!$G$58*Calculator!$G$60*(1-Calculator!$G$61)*(1-Calculator!$G$62)*(1-Calculator!$G$63)*(1-Calculator!$G$64)*R$30*R$33*Calculator!$C$72</f>
        <v>2288056.5162811531</v>
      </c>
      <c r="S81" s="162">
        <f>Calculator!$G$58*Calculator!$G$60*(1-Calculator!$G$61)*(1-Calculator!$G$62)*(1-Calculator!$G$63)*(1-Calculator!$G$64)*S$30*S$33*Calculator!$C$72</f>
        <v>2168773.9490816621</v>
      </c>
      <c r="T81" s="162">
        <f>Calculator!$G$58*Calculator!$G$60*(1-Calculator!$G$61)*(1-Calculator!$G$62)*(1-Calculator!$G$63)*(1-Calculator!$G$64)*T$30*T$33*Calculator!$C$72</f>
        <v>2055709.9043428074</v>
      </c>
      <c r="U81" s="162">
        <f>Calculator!$G$58*Calculator!$G$60*(1-Calculator!$G$61)*(1-Calculator!$G$62)*(1-Calculator!$G$63)*(1-Calculator!$G$64)*U$30*U$33*Calculator!$C$72</f>
        <v>1948540.1936898655</v>
      </c>
      <c r="V81" s="162">
        <f>Calculator!$G$58*Calculator!$G$60*(1-Calculator!$G$61)*(1-Calculator!$G$62)*(1-Calculator!$G$63)*(1-Calculator!$G$64)*V$30*V$33*Calculator!$C$72</f>
        <v>1846957.5295638535</v>
      </c>
      <c r="W81" s="162">
        <f>Calculator!$G$58*Calculator!$G$60*(1-Calculator!$G$61)*(1-Calculator!$G$62)*(1-Calculator!$G$63)*(1-Calculator!$G$64)*W$30*W$33*Calculator!$C$72</f>
        <v>1750670.6441363541</v>
      </c>
      <c r="X81" s="162">
        <f>Calculator!$G$58*Calculator!$G$60*(1-Calculator!$G$61)*(1-Calculator!$G$62)*(1-Calculator!$G$63)*(1-Calculator!$G$64)*X$30*X$33*Calculator!$C$72</f>
        <v>1659403.4541576819</v>
      </c>
      <c r="Y81" s="162">
        <f>Calculator!$G$58*Calculator!$G$60*(1-Calculator!$G$61)*(1-Calculator!$G$62)*(1-Calculator!$G$63)*(1-Calculator!$G$64)*Y$30*Y$33*Calculator!$C$72</f>
        <v>1572894.2693437743</v>
      </c>
      <c r="Z81" s="162">
        <f>Calculator!$G$58*Calculator!$G$60*(1-Calculator!$G$61)*(1-Calculator!$G$62)*(1-Calculator!$G$63)*(1-Calculator!$G$64)*Z$30*Z$33*Calculator!$C$72</f>
        <v>1490895.0420320136</v>
      </c>
      <c r="AA81" s="162">
        <f>Calculator!$G$58*Calculator!$G$60*(1-Calculator!$G$61)*(1-Calculator!$G$62)*(1-Calculator!$G$63)*(1-Calculator!$G$64)*AA$30*AA$33*Calculator!$C$72</f>
        <v>1413170.6559545153</v>
      </c>
      <c r="AB81" s="162">
        <f>Calculator!$G$58*Calculator!$G$60*(1-Calculator!$G$61)*(1-Calculator!$G$62)*(1-Calculator!$G$63)*(1-Calculator!$G$64)*AB$30*AB$33*Calculator!$C$72</f>
        <v>1339498.252089588</v>
      </c>
      <c r="AC81" s="162">
        <f>Calculator!$G$58*Calculator!$G$60*(1-Calculator!$G$61)*(1-Calculator!$G$62)*(1-Calculator!$G$63)*(1-Calculator!$G$64)*AC$30*AC$33*Calculator!$C$72</f>
        <v>1269666.5896583775</v>
      </c>
      <c r="AD81" s="162">
        <f>Calculator!$G$58*Calculator!$G$60*(1-Calculator!$G$61)*(1-Calculator!$G$62)*(1-Calculator!$G$63)*(1-Calculator!$G$64)*AD$30*AD$33*Calculator!$C$72</f>
        <v>1203475.440434481</v>
      </c>
      <c r="AE81" s="162">
        <f>Calculator!$G$58*Calculator!$G$60*(1-Calculator!$G$61)*(1-Calculator!$G$62)*(1-Calculator!$G$63)*(1-Calculator!$G$64)*AE$30*AE$33*Calculator!$C$72</f>
        <v>1140735.0146298399</v>
      </c>
      <c r="AF81" s="162">
        <f>Calculator!$G$58*Calculator!$G$60*(1-Calculator!$G$61)*(1-Calculator!$G$62)*(1-Calculator!$G$63)*(1-Calculator!$G$64)*AF$30*AF$33*Calculator!$C$72</f>
        <v>1081265.416710749</v>
      </c>
      <c r="AG81" s="162">
        <f>Calculator!$G$58*Calculator!$G$60*(1-Calculator!$G$61)*(1-Calculator!$G$62)*(1-Calculator!$G$63)*(1-Calculator!$G$64)*AG$30*AG$33*Calculator!$C$72</f>
        <v>1024896.1295836482</v>
      </c>
      <c r="AH81" s="162">
        <f>Calculator!$G$58*Calculator!$G$60*(1-Calculator!$G$61)*(1-Calculator!$G$62)*(1-Calculator!$G$63)*(1-Calculator!$G$64)*AH$30*AH$33*Calculator!$C$72</f>
        <v>971465.52567170456</v>
      </c>
      <c r="AI81" s="162">
        <f>Calculator!$G$58*Calculator!$G$60*(1-Calculator!$G$61)*(1-Calculator!$G$62)*(1-Calculator!$G$63)*(1-Calculator!$G$64)*AI$30*AI$33*Calculator!$C$72</f>
        <v>920820.40348028846</v>
      </c>
      <c r="AJ81" s="162">
        <f>Calculator!$G$58*Calculator!$G$60*(1-Calculator!$G$61)*(1-Calculator!$G$62)*(1-Calculator!$G$63)*(1-Calculator!$G$64)*AJ$30*AJ$33*Calculator!$C$72</f>
        <v>872815.54832254851</v>
      </c>
      <c r="AK81" s="162">
        <f>Calculator!$G$58*Calculator!$G$60*(1-Calculator!$G$61)*(1-Calculator!$G$62)*(1-Calculator!$G$63)*(1-Calculator!$G$64)*AK$30*AK$33*Calculator!$C$72</f>
        <v>827313.3159455437</v>
      </c>
      <c r="AL81" s="162">
        <f>Calculator!$G$58*Calculator!$G$60*(1-Calculator!$G$61)*(1-Calculator!$G$62)*(1-Calculator!$G$63)*(1-Calculator!$G$64)*AL$30*AL$33*Calculator!$C$72</f>
        <v>784183.23786307464</v>
      </c>
      <c r="AM81" s="162">
        <f>Calculator!$G$58*Calculator!$G$60*(1-Calculator!$G$61)*(1-Calculator!$G$62)*(1-Calculator!$G$63)*(1-Calculator!$G$64)*AM$30*AM$33*Calculator!$C$72</f>
        <v>743301.64726357791</v>
      </c>
      <c r="AN81" s="162">
        <f>Calculator!$G$58*Calculator!$G$60*(1-Calculator!$G$61)*(1-Calculator!$G$62)*(1-Calculator!$G$63)*(1-Calculator!$G$64)*AN$30*AN$33*Calculator!$C$72</f>
        <v>704551.32442045293</v>
      </c>
      <c r="AO81" s="162">
        <f>Calculator!$G$58*Calculator!$G$60*(1-Calculator!$G$61)*(1-Calculator!$G$62)*(1-Calculator!$G$63)*(1-Calculator!$G$64)*AO$30*AO$33*Calculator!$C$72</f>
        <v>667821.16058810719</v>
      </c>
      <c r="AP81" s="162">
        <f>Calculator!$G$58*Calculator!$G$60*(1-Calculator!$G$61)*(1-Calculator!$G$62)*(1-Calculator!$G$63)*(1-Calculator!$G$64)*AP$30*AP$33*Calculator!$C$72</f>
        <v>0</v>
      </c>
    </row>
    <row r="82" spans="1:42" x14ac:dyDescent="0.2">
      <c r="B82" s="152"/>
      <c r="C82" s="154"/>
      <c r="L82" s="57"/>
    </row>
    <row r="84" spans="1:42" s="159" customFormat="1" x14ac:dyDescent="0.2">
      <c r="A84" s="156" t="str">
        <f>Calculator!B68</f>
        <v>Decommissioning (£000s/MW)</v>
      </c>
      <c r="B84" s="209">
        <f>SUM(G84:AP84)/$B$41</f>
        <v>38.870262142982007</v>
      </c>
      <c r="C84" s="210">
        <f>B84/$B$43-1</f>
        <v>0</v>
      </c>
      <c r="D84" s="28"/>
      <c r="E84" s="28"/>
      <c r="F84" s="29"/>
      <c r="G84" s="249">
        <f t="shared" ref="G84:L84" si="23">G39</f>
        <v>41700000</v>
      </c>
      <c r="H84" s="249">
        <f t="shared" si="23"/>
        <v>91304751.385359198</v>
      </c>
      <c r="I84" s="249">
        <f t="shared" si="23"/>
        <v>329442037.43425792</v>
      </c>
      <c r="J84" s="249">
        <f t="shared" si="23"/>
        <v>533250006.56131881</v>
      </c>
      <c r="K84" s="249">
        <f t="shared" si="23"/>
        <v>507583954.42363393</v>
      </c>
      <c r="L84" s="250">
        <f t="shared" si="23"/>
        <v>47087030.987729959</v>
      </c>
      <c r="M84" s="250">
        <f>IF(L2+M2=1,1,0)*Calculator!$G$69*1000*Calculator!$C$72*M33+M36+M37</f>
        <v>20187417.409041014</v>
      </c>
      <c r="N84" s="250">
        <f>IF(M2+N2=1,1,0)*Calculator!$G$69*1000*Calculator!$C$72*N33+N36+N37</f>
        <v>19134992.804778211</v>
      </c>
      <c r="O84" s="250">
        <f>IF(N2+O2=1,1,0)*Calculator!$G$69*1000*Calculator!$C$72*O33+O36+O37</f>
        <v>18137433.938178401</v>
      </c>
      <c r="P84" s="250">
        <f>IF(O2+P2=1,1,0)*Calculator!$G$69*1000*Calculator!$C$72*P33+P36+P37</f>
        <v>17191880.510121707</v>
      </c>
      <c r="Q84" s="250">
        <f>IF(P2+Q2=1,1,0)*Calculator!$G$69*1000*Calculator!$C$72*Q33+Q36+Q37</f>
        <v>16295621.336608255</v>
      </c>
      <c r="R84" s="250">
        <f>IF(Q2+R2=1,1,0)*Calculator!$G$69*1000*Calculator!$C$72*R33+R36+R37</f>
        <v>15446086.574984128</v>
      </c>
      <c r="S84" s="250">
        <f>IF(R2+S2=1,1,0)*Calculator!$G$69*1000*Calculator!$C$72*S33+S36+S37</f>
        <v>14640840.355435194</v>
      </c>
      <c r="T84" s="250">
        <f>IF(S2+T2=1,1,0)*Calculator!$G$69*1000*Calculator!$C$72*T33+T36+T37</f>
        <v>13877573.796621038</v>
      </c>
      <c r="U84" s="250">
        <f>IF(T2+U2=1,1,0)*Calculator!$G$69*1000*Calculator!$C$72*U33+U36+U37</f>
        <v>13154098.385422789</v>
      </c>
      <c r="V84" s="250">
        <f>IF(U2+V2=1,1,0)*Calculator!$G$69*1000*Calculator!$C$72*V33+V36+V37</f>
        <v>12468339.701822547</v>
      </c>
      <c r="W84" s="250">
        <f>IF(V2+W2=1,1,0)*Calculator!$G$69*1000*Calculator!$C$72*W33+W36+W37</f>
        <v>11818331.470921846</v>
      </c>
      <c r="X84" s="250">
        <f>IF(W2+X2=1,1,0)*Calculator!$G$69*1000*Calculator!$C$72*X33+X36+X37</f>
        <v>11202209.925044406</v>
      </c>
      <c r="Y84" s="250">
        <f>IF(X2+Y2=1,1,0)*Calculator!$G$69*1000*Calculator!$C$72*Y33+Y36+Y37</f>
        <v>10618208.45975773</v>
      </c>
      <c r="Z84" s="250">
        <f>IF(Y2+Z2=1,1,0)*Calculator!$G$69*1000*Calculator!$C$72*Z33+Z36+Z37</f>
        <v>10064652.56849074</v>
      </c>
      <c r="AA84" s="250">
        <f>IF(Z2+AA2=1,1,0)*Calculator!$G$69*1000*Calculator!$C$72*AA33+AA36+AA37</f>
        <v>9539955.0412234515</v>
      </c>
      <c r="AB84" s="250">
        <f>IF(AA2+AB2=1,1,0)*Calculator!$G$69*1000*Calculator!$C$72*AB33+AB36+AB37</f>
        <v>9042611.4134819452</v>
      </c>
      <c r="AC84" s="250">
        <f>IF(AB2+AC2=1,1,0)*Calculator!$G$69*1000*Calculator!$C$72*AC33+AC36+AC37</f>
        <v>8571195.6525895223</v>
      </c>
      <c r="AD84" s="250">
        <f>IF(AC2+AD2=1,1,0)*Calculator!$G$69*1000*Calculator!$C$72*AD33+AD36+AD37</f>
        <v>8124356.0688052336</v>
      </c>
      <c r="AE84" s="250">
        <f>IF(AD2+AE2=1,1,0)*Calculator!$G$69*1000*Calculator!$C$72*AE33+AE36+AE37</f>
        <v>7700811.4396258146</v>
      </c>
      <c r="AF84" s="250">
        <f>IF(AE2+AF2=1,1,0)*Calculator!$G$69*1000*Calculator!$C$72*AF33+AF36+AF37</f>
        <v>7299347.336138214</v>
      </c>
      <c r="AG84" s="250">
        <f>IF(AF2+AG2=1,1,0)*Calculator!$G$69*1000*Calculator!$C$72*AG33+AG36+AG37</f>
        <v>6918812.6408893019</v>
      </c>
      <c r="AH84" s="250">
        <f>IF(AG2+AH2=1,1,0)*Calculator!$G$69*1000*Calculator!$C$72*AH33+AH36+AH37</f>
        <v>6558116.2472884394</v>
      </c>
      <c r="AI84" s="250">
        <f>IF(AH2+AI2=1,1,0)*Calculator!$G$69*1000*Calculator!$C$72*AI33+AI36+AI37</f>
        <v>6216223.9310790878</v>
      </c>
      <c r="AJ84" s="250">
        <f>IF(AI2+AJ2=1,1,0)*Calculator!$G$69*1000*Calculator!$C$72*AJ33+AJ36+AJ37</f>
        <v>5892155.3849090897</v>
      </c>
      <c r="AK84" s="250">
        <f>IF(AJ2+AK2=1,1,0)*Calculator!$G$69*1000*Calculator!$C$72*AK33+AK36+AK37</f>
        <v>5584981.407496768</v>
      </c>
      <c r="AL84" s="250">
        <f>IF(AK2+AL2=1,1,0)*Calculator!$G$69*1000*Calculator!$C$72*AL33+AL36+AL37</f>
        <v>5293821.2393334294</v>
      </c>
      <c r="AM84" s="250">
        <f>IF(AL2+AM2=1,1,0)*Calculator!$G$69*1000*Calculator!$C$72*AM33+AM36+AM37</f>
        <v>5017840.037282872</v>
      </c>
      <c r="AN84" s="250">
        <f>IF(AM2+AN2=1,1,0)*Calculator!$G$69*1000*Calculator!$C$72*AN33+AN36+AN37</f>
        <v>4756246.480836845</v>
      </c>
      <c r="AO84" s="250">
        <f>IF(AN2+AO2=1,1,0)*Calculator!$G$69*1000*Calculator!$C$72*AO33+AO36+AO37</f>
        <v>4508290.5031628869</v>
      </c>
      <c r="AP84" s="250">
        <f>IF(AO2+AP2=1,1,0)*Calculator!$G$69*1000*Calculator!$C$72*AP33+AP36+AP37</f>
        <v>24677688.87375148</v>
      </c>
    </row>
    <row r="85" spans="1:42" s="166" customFormat="1" x14ac:dyDescent="0.2">
      <c r="A85" s="163"/>
      <c r="B85" s="211"/>
      <c r="C85" s="212"/>
      <c r="D85" s="212"/>
      <c r="E85" s="212"/>
      <c r="F85" s="213" t="s">
        <v>87</v>
      </c>
      <c r="G85" s="251">
        <f>G39</f>
        <v>41700000</v>
      </c>
      <c r="H85" s="251">
        <f>H39</f>
        <v>91304751.385359198</v>
      </c>
      <c r="I85" s="251">
        <f>I39</f>
        <v>329442037.43425792</v>
      </c>
      <c r="J85" s="251">
        <f>J39</f>
        <v>533250006.56131881</v>
      </c>
      <c r="K85" s="251">
        <f>K39</f>
        <v>507583954.42363393</v>
      </c>
      <c r="L85" s="251">
        <f>IF(L1&lt;=Calculator!$G$71,1,0)*$B$22*L33+L36</f>
        <v>47087030.987729959</v>
      </c>
      <c r="M85" s="251">
        <f>IF(M1&lt;=Calculator!$G$71,1,0)*$B$22*M33+M36+IF(M1=Calculator!$G$71+1,1,0)*Calculator!$C$69*1000*Calculator!$C$72*M33</f>
        <v>20187417.409041014</v>
      </c>
      <c r="N85" s="251">
        <f>IF(N1&lt;=Calculator!$G$71,1,0)*$B$22*N33+N36+IF(N1=Calculator!$G$71+1,1,0)*Calculator!$C$69*1000*Calculator!$C$72*N33</f>
        <v>19134992.804778211</v>
      </c>
      <c r="O85" s="251">
        <f>IF(O1&lt;=Calculator!$G$71,1,0)*$B$22*O33+O36+IF(O1=Calculator!$G$71+1,1,0)*Calculator!$C$69*1000*Calculator!$C$72*O33</f>
        <v>18137433.938178401</v>
      </c>
      <c r="P85" s="251">
        <f>IF(P1&lt;=Calculator!$G$71,1,0)*$B$22*P33+P36+IF(P1=Calculator!$G$71+1,1,0)*Calculator!$C$69*1000*Calculator!$C$72*P33</f>
        <v>17191880.510121707</v>
      </c>
      <c r="Q85" s="251">
        <f>IF(Q1&lt;=Calculator!$G$71,1,0)*$B$22*Q33+Q36+IF(Q1=Calculator!$G$71+1,1,0)*Calculator!$C$69*1000*Calculator!$C$72*Q33</f>
        <v>16295621.336608255</v>
      </c>
      <c r="R85" s="251">
        <f>IF(R1&lt;=Calculator!$G$71,1,0)*$B$22*R33+R36+IF(R1=Calculator!$G$71+1,1,0)*Calculator!$C$69*1000*Calculator!$C$72*R33</f>
        <v>15446086.574984128</v>
      </c>
      <c r="S85" s="251">
        <f>IF(S1&lt;=Calculator!$G$71,1,0)*$B$22*S33+S36+IF(S1=Calculator!$G$71+1,1,0)*Calculator!$C$69*1000*Calculator!$C$72*S33</f>
        <v>14640840.355435194</v>
      </c>
      <c r="T85" s="251">
        <f>IF(T1&lt;=Calculator!$G$71,1,0)*$B$22*T33+T36+IF(T1=Calculator!$G$71+1,1,0)*Calculator!$C$69*1000*Calculator!$C$72*T33</f>
        <v>13877573.796621038</v>
      </c>
      <c r="U85" s="251">
        <f>IF(U1&lt;=Calculator!$G$71,1,0)*$B$22*U33+U36+IF(U1=Calculator!$G$71+1,1,0)*Calculator!$C$69*1000*Calculator!$C$72*U33</f>
        <v>13154098.385422789</v>
      </c>
      <c r="V85" s="251">
        <f>IF(V1&lt;=Calculator!$G$71,1,0)*$B$22*V33+V36+IF(V1=Calculator!$G$71+1,1,0)*Calculator!$C$69*1000*Calculator!$C$72*V33</f>
        <v>12468339.701822547</v>
      </c>
      <c r="W85" s="251">
        <f>IF(W1&lt;=Calculator!$G$71,1,0)*$B$22*W33+W36+IF(W1=Calculator!$G$71+1,1,0)*Calculator!$C$69*1000*Calculator!$C$72*W33</f>
        <v>11818331.470921846</v>
      </c>
      <c r="X85" s="251">
        <f>IF(X1&lt;=Calculator!$G$71,1,0)*$B$22*X33+X36+IF(X1=Calculator!$G$71+1,1,0)*Calculator!$C$69*1000*Calculator!$C$72*X33</f>
        <v>11202209.925044406</v>
      </c>
      <c r="Y85" s="251">
        <f>IF(Y1&lt;=Calculator!$G$71,1,0)*$B$22*Y33+Y36+IF(Y1=Calculator!$G$71+1,1,0)*Calculator!$C$69*1000*Calculator!$C$72*Y33</f>
        <v>10618208.45975773</v>
      </c>
      <c r="Z85" s="251">
        <f>IF(Z1&lt;=Calculator!$G$71,1,0)*$B$22*Z33+Z36+IF(Z1=Calculator!$G$71+1,1,0)*Calculator!$C$69*1000*Calculator!$C$72*Z33</f>
        <v>10064652.56849074</v>
      </c>
      <c r="AA85" s="251">
        <f>IF(AA1&lt;=Calculator!$G$71,1,0)*$B$22*AA33+AA36+IF(AA1=Calculator!$G$71+1,1,0)*Calculator!$C$69*1000*Calculator!$C$72*AA33</f>
        <v>9539955.0412234515</v>
      </c>
      <c r="AB85" s="251">
        <f>IF(AB1&lt;=Calculator!$G$71,1,0)*$B$22*AB33+AB36+IF(AB1=Calculator!$G$71+1,1,0)*Calculator!$C$69*1000*Calculator!$C$72*AB33</f>
        <v>9042611.4134819452</v>
      </c>
      <c r="AC85" s="251">
        <f>IF(AC1&lt;=Calculator!$G$71,1,0)*$B$22*AC33+AC36+IF(AC1=Calculator!$G$71+1,1,0)*Calculator!$C$69*1000*Calculator!$C$72*AC33</f>
        <v>8571195.6525895223</v>
      </c>
      <c r="AD85" s="251">
        <f>IF(AD1&lt;=Calculator!$G$71,1,0)*$B$22*AD33+AD36+IF(AD1=Calculator!$G$71+1,1,0)*Calculator!$C$69*1000*Calculator!$C$72*AD33</f>
        <v>8124356.0688052336</v>
      </c>
      <c r="AE85" s="251">
        <f>IF(AE1&lt;=Calculator!$G$71,1,0)*$B$22*AE33+AE36+IF(AE1=Calculator!$G$71+1,1,0)*Calculator!$C$69*1000*Calculator!$C$72*AE33</f>
        <v>7700811.4396258146</v>
      </c>
      <c r="AF85" s="251">
        <f>IF(AF1&lt;=Calculator!$G$71,1,0)*$B$22*AF33+AF36+IF(AF1=Calculator!$G$71+1,1,0)*Calculator!$C$69*1000*Calculator!$C$72*AF33</f>
        <v>7299347.336138214</v>
      </c>
      <c r="AG85" s="251">
        <f>IF(AG1&lt;=Calculator!$G$71,1,0)*$B$22*AG33+AG36+IF(AG1=Calculator!$G$71+1,1,0)*Calculator!$C$69*1000*Calculator!$C$72*AG33</f>
        <v>6918812.6408893019</v>
      </c>
      <c r="AH85" s="251">
        <f>IF(AH1&lt;=Calculator!$G$71,1,0)*$B$22*AH33+AH36+IF(AH1=Calculator!$G$71+1,1,0)*Calculator!$C$69*1000*Calculator!$C$72*AH33</f>
        <v>6558116.2472884394</v>
      </c>
      <c r="AI85" s="251">
        <f>IF(AI1&lt;=Calculator!$G$71,1,0)*$B$22*AI33+AI36+IF(AI1=Calculator!$G$71+1,1,0)*Calculator!$C$69*1000*Calculator!$C$72*AI33</f>
        <v>6216223.9310790878</v>
      </c>
      <c r="AJ85" s="251">
        <f>IF(AJ1&lt;=Calculator!$G$71,1,0)*$B$22*AJ33+AJ36+IF(AJ1=Calculator!$G$71+1,1,0)*Calculator!$C$69*1000*Calculator!$C$72*AJ33</f>
        <v>5892155.3849090897</v>
      </c>
      <c r="AK85" s="251">
        <f>IF(AK1&lt;=Calculator!$G$71,1,0)*$B$22*AK33+AK36+IF(AK1=Calculator!$G$71+1,1,0)*Calculator!$C$69*1000*Calculator!$C$72*AK33</f>
        <v>5584981.407496768</v>
      </c>
      <c r="AL85" s="251">
        <f>IF(AL1&lt;=Calculator!$G$71,1,0)*$B$22*AL33+AL36+IF(AL1=Calculator!$G$71+1,1,0)*Calculator!$C$69*1000*Calculator!$C$72*AL33</f>
        <v>5293821.2393334294</v>
      </c>
      <c r="AM85" s="251">
        <f>IF(AM1&lt;=Calculator!$G$71,1,0)*$B$22*AM33+AM36+IF(AM1=Calculator!$G$71+1,1,0)*Calculator!$C$69*1000*Calculator!$C$72*AM33</f>
        <v>5017840.037282872</v>
      </c>
      <c r="AN85" s="251">
        <f>IF(AN1&lt;=Calculator!$G$71,1,0)*$B$22*AN33+AN36+IF(AN1=Calculator!$G$71+1,1,0)*Calculator!$C$69*1000*Calculator!$C$72*AN33</f>
        <v>4756246.480836845</v>
      </c>
      <c r="AO85" s="251">
        <f>IF(AO1&lt;=Calculator!$G$71,1,0)*$B$22*AO33+AO36+IF(AO1=Calculator!$G$71+1,1,0)*Calculator!$C$69*1000*Calculator!$C$72*AO33</f>
        <v>4508290.5031628869</v>
      </c>
      <c r="AP85" s="251">
        <f>IF(AP1&lt;=Calculator!$G$71,1,0)*$B$22*AP33+AP36+IF(AP1=Calculator!$G$71+1,1,0)*Calculator!$C$69*1000*Calculator!$C$72*AP33</f>
        <v>24677688.87375148</v>
      </c>
    </row>
    <row r="86" spans="1:42" s="170" customFormat="1" x14ac:dyDescent="0.2">
      <c r="A86" s="168" t="str">
        <f>Calculator!B71</f>
        <v>Operational life (years)</v>
      </c>
      <c r="B86" s="173">
        <f>SUM(G85:AP85)/SUM(G86:AP86)</f>
        <v>38.870262142982007</v>
      </c>
      <c r="C86" s="174">
        <f>B86/$B$43-1</f>
        <v>0</v>
      </c>
      <c r="F86" s="175" t="s">
        <v>66</v>
      </c>
      <c r="G86" s="176">
        <f>G74</f>
        <v>0</v>
      </c>
      <c r="H86" s="176">
        <f>H74</f>
        <v>0</v>
      </c>
      <c r="I86" s="176">
        <f>I74</f>
        <v>0</v>
      </c>
      <c r="J86" s="176">
        <f>J74</f>
        <v>0</v>
      </c>
      <c r="K86" s="176">
        <f>K74</f>
        <v>0</v>
      </c>
      <c r="L86" s="171">
        <f>$C$29*IF(L1&lt;=Calculator!$G$71,1,0)*L33*Calculator!$C$72</f>
        <v>3154870.2689389377</v>
      </c>
      <c r="M86" s="171">
        <f>$C$29*IF(M1&lt;=Calculator!$G$71,1,0)*M33*Calculator!$C$72</f>
        <v>2990398.3591838279</v>
      </c>
      <c r="N86" s="171">
        <f>$C$29*IF(N1&lt;=Calculator!$G$71,1,0)*N33*Calculator!$C$72</f>
        <v>2834500.8143922533</v>
      </c>
      <c r="O86" s="171">
        <f>$C$29*IF(O1&lt;=Calculator!$G$71,1,0)*O33*Calculator!$C$72</f>
        <v>2686730.6297556912</v>
      </c>
      <c r="P86" s="171">
        <f>$C$29*IF(P1&lt;=Calculator!$G$71,1,0)*P33*Calculator!$C$72</f>
        <v>2546664.1040338306</v>
      </c>
      <c r="Q86" s="171">
        <f>$C$29*IF(Q1&lt;=Calculator!$G$71,1,0)*Q33*Calculator!$C$72</f>
        <v>2413899.6246766164</v>
      </c>
      <c r="R86" s="171">
        <f>$C$29*IF(R1&lt;=Calculator!$G$71,1,0)*R33*Calculator!$C$72</f>
        <v>2288056.5162811531</v>
      </c>
      <c r="S86" s="171">
        <f>$C$29*IF(S1&lt;=Calculator!$G$71,1,0)*S33*Calculator!$C$72</f>
        <v>2168773.9490816621</v>
      </c>
      <c r="T86" s="171">
        <f>$C$29*IF(T1&lt;=Calculator!$G$71,1,0)*T33*Calculator!$C$72</f>
        <v>2055709.9043428074</v>
      </c>
      <c r="U86" s="171">
        <f>$C$29*IF(U1&lt;=Calculator!$G$71,1,0)*U33*Calculator!$C$72</f>
        <v>1948540.1936898655</v>
      </c>
      <c r="V86" s="171">
        <f>$C$29*IF(V1&lt;=Calculator!$G$71,1,0)*V33*Calculator!$C$72</f>
        <v>1846957.5295638535</v>
      </c>
      <c r="W86" s="171">
        <f>$C$29*IF(W1&lt;=Calculator!$G$71,1,0)*W33*Calculator!$C$72</f>
        <v>1750670.6441363541</v>
      </c>
      <c r="X86" s="171">
        <f>$C$29*IF(X1&lt;=Calculator!$G$71,1,0)*X33*Calculator!$C$72</f>
        <v>1659403.4541576819</v>
      </c>
      <c r="Y86" s="171">
        <f>$C$29*IF(Y1&lt;=Calculator!$G$71,1,0)*Y33*Calculator!$C$72</f>
        <v>1572894.2693437743</v>
      </c>
      <c r="Z86" s="171">
        <f>$C$29*IF(Z1&lt;=Calculator!$G$71,1,0)*Z33*Calculator!$C$72</f>
        <v>1490895.0420320136</v>
      </c>
      <c r="AA86" s="171">
        <f>$C$29*IF(AA1&lt;=Calculator!$G$71,1,0)*AA33*Calculator!$C$72</f>
        <v>1413170.6559545153</v>
      </c>
      <c r="AB86" s="171">
        <f>$C$29*IF(AB1&lt;=Calculator!$G$71,1,0)*AB33*Calculator!$C$72</f>
        <v>1339498.252089588</v>
      </c>
      <c r="AC86" s="171">
        <f>$C$29*IF(AC1&lt;=Calculator!$G$71,1,0)*AC33*Calculator!$C$72</f>
        <v>1269666.5896583775</v>
      </c>
      <c r="AD86" s="171">
        <f>$C$29*IF(AD1&lt;=Calculator!$G$71,1,0)*AD33*Calculator!$C$72</f>
        <v>1203475.440434481</v>
      </c>
      <c r="AE86" s="171">
        <f>$C$29*IF(AE1&lt;=Calculator!$G$71,1,0)*AE33*Calculator!$C$72</f>
        <v>1140735.0146298399</v>
      </c>
      <c r="AF86" s="171">
        <f>$C$29*IF(AF1&lt;=Calculator!$G$71,1,0)*AF33*Calculator!$C$72</f>
        <v>1081265.416710749</v>
      </c>
      <c r="AG86" s="171">
        <f>$C$29*IF(AG1&lt;=Calculator!$G$71,1,0)*AG33*Calculator!$C$72</f>
        <v>1024896.1295836482</v>
      </c>
      <c r="AH86" s="171">
        <f>$C$29*IF(AH1&lt;=Calculator!$G$71,1,0)*AH33*Calculator!$C$72</f>
        <v>971465.52567170456</v>
      </c>
      <c r="AI86" s="171">
        <f>$C$29*IF(AI1&lt;=Calculator!$G$71,1,0)*AI33*Calculator!$C$72</f>
        <v>920820.40348028846</v>
      </c>
      <c r="AJ86" s="171">
        <f>$C$29*IF(AJ1&lt;=Calculator!$G$71,1,0)*AJ33*Calculator!$C$72</f>
        <v>872815.54832254851</v>
      </c>
      <c r="AK86" s="171">
        <f>$C$29*IF(AK1&lt;=Calculator!$G$71,1,0)*AK33*Calculator!$C$72</f>
        <v>827313.3159455437</v>
      </c>
      <c r="AL86" s="171">
        <f>$C$29*IF(AL1&lt;=Calculator!$G$71,1,0)*AL33*Calculator!$C$72</f>
        <v>784183.23786307464</v>
      </c>
      <c r="AM86" s="171">
        <f>$C$29*IF(AM1&lt;=Calculator!$G$71,1,0)*AM33*Calculator!$C$72</f>
        <v>743301.64726357791</v>
      </c>
      <c r="AN86" s="171">
        <f>$C$29*IF(AN1&lt;=Calculator!$G$71,1,0)*AN33*Calculator!$C$72</f>
        <v>704551.32442045293</v>
      </c>
      <c r="AO86" s="171">
        <f>$C$29*IF(AO1&lt;=Calculator!$G$71,1,0)*AO33*Calculator!$C$72</f>
        <v>667821.16058810719</v>
      </c>
      <c r="AP86" s="171">
        <f>$C$29*IF(AP1&lt;=Calculator!$G$71,1,0)*AP33*Calculator!$C$72</f>
        <v>0</v>
      </c>
    </row>
    <row r="89" spans="1:42" s="166" customFormat="1" ht="25.5" x14ac:dyDescent="0.2">
      <c r="A89" s="163" t="str">
        <f>Calculator!B74</f>
        <v>WACC (weighted average cost of capital, pre-tax, real)</v>
      </c>
      <c r="B89" s="164">
        <f>SUM(G89:AP89)/SUM(G90:AP90)</f>
        <v>38.870262142982007</v>
      </c>
      <c r="C89" s="165">
        <f>B89/$B$43-1</f>
        <v>0</v>
      </c>
      <c r="F89" s="172" t="s">
        <v>87</v>
      </c>
      <c r="G89" s="252">
        <f>(G16+G22+G26)*1</f>
        <v>41700000</v>
      </c>
      <c r="H89" s="252">
        <f>(H16+H22+H26)/(1+Calculator!$G$74)^(H1+3.5)</f>
        <v>91304751.385359183</v>
      </c>
      <c r="I89" s="252">
        <f>(I16+I22+I26)/(1+Calculator!$G$74)^(I1+3.5)</f>
        <v>329442037.43425792</v>
      </c>
      <c r="J89" s="252">
        <f>(J16+J22+J26)/(1+Calculator!$G$74)^(J1+3.5)</f>
        <v>533250006.56131881</v>
      </c>
      <c r="K89" s="252">
        <f>(K16+K22+K26)/(1+Calculator!$G$74)^(K1+3.5)</f>
        <v>507583954.42363393</v>
      </c>
      <c r="L89" s="252">
        <f>(L16+L22+L26)/(1+Calculator!$G$74)^(L1+3.5)</f>
        <v>47087030.987729959</v>
      </c>
      <c r="M89" s="252">
        <f>(M16+M22+M26)/(1+Calculator!$G$74)^(M1+3.5)</f>
        <v>20187417.409041014</v>
      </c>
      <c r="N89" s="252">
        <f>(N16+N22+N26)/(1+Calculator!$G$74)^(N1+3.5)</f>
        <v>19134992.804778211</v>
      </c>
      <c r="O89" s="252">
        <f>(O16+O22+O26)/(1+Calculator!$G$74)^(O1+3.5)</f>
        <v>18137433.938178401</v>
      </c>
      <c r="P89" s="252">
        <f>(P16+P22+P26)/(1+Calculator!$G$74)^(P1+3.5)</f>
        <v>17191880.510121711</v>
      </c>
      <c r="Q89" s="252">
        <f>(Q16+Q22+Q26)/(1+Calculator!$G$74)^(Q1+3.5)</f>
        <v>16295621.336608255</v>
      </c>
      <c r="R89" s="252">
        <f>(R16+R22+R26)/(1+Calculator!$G$74)^(R1+3.5)</f>
        <v>15446086.57498413</v>
      </c>
      <c r="S89" s="252">
        <f>(S16+S22+S26)/(1+Calculator!$G$74)^(S1+3.5)</f>
        <v>14640840.355435194</v>
      </c>
      <c r="T89" s="252">
        <f>(T16+T22+T26)/(1+Calculator!$G$74)^(T1+3.5)</f>
        <v>13877573.79662104</v>
      </c>
      <c r="U89" s="252">
        <f>(U16+U22+U26)/(1+Calculator!$G$74)^(U1+3.5)</f>
        <v>13154098.385422787</v>
      </c>
      <c r="V89" s="252">
        <f>(V16+V22+V26)/(1+Calculator!$G$74)^(V1+3.5)</f>
        <v>12468339.701822547</v>
      </c>
      <c r="W89" s="252">
        <f>(W16+W22+W26)/(1+Calculator!$G$74)^(W1+3.5)</f>
        <v>11818331.470921846</v>
      </c>
      <c r="X89" s="252">
        <f>(X16+X22+X26)/(1+Calculator!$G$74)^(X1+3.5)</f>
        <v>11202209.925044406</v>
      </c>
      <c r="Y89" s="252">
        <f>(Y16+Y22+Y26)/(1+Calculator!$G$74)^(Y1+3.5)</f>
        <v>10618208.45975773</v>
      </c>
      <c r="Z89" s="252">
        <f>(Z16+Z22+Z26)/(1+Calculator!$G$74)^(Z1+3.5)</f>
        <v>10064652.56849074</v>
      </c>
      <c r="AA89" s="252">
        <f>(AA16+AA22+AA26)/(1+Calculator!$G$74)^(AA1+3.5)</f>
        <v>9539955.0412234515</v>
      </c>
      <c r="AB89" s="252">
        <f>(AB16+AB22+AB26)/(1+Calculator!$G$74)^(AB1+3.5)</f>
        <v>9042611.4134819433</v>
      </c>
      <c r="AC89" s="252">
        <f>(AC16+AC22+AC26)/(1+Calculator!$G$74)^(AC1+3.5)</f>
        <v>8571195.6525895223</v>
      </c>
      <c r="AD89" s="252">
        <f>(AD16+AD22+AD26)/(1+Calculator!$G$74)^(AD1+3.5)</f>
        <v>8124356.0688052336</v>
      </c>
      <c r="AE89" s="252">
        <f>(AE16+AE22+AE26)/(1+Calculator!$G$74)^(AE1+3.5)</f>
        <v>7700811.4396258146</v>
      </c>
      <c r="AF89" s="252">
        <f>(AF16+AF22+AF26)/(1+Calculator!$G$74)^(AF1+3.5)</f>
        <v>7299347.336138214</v>
      </c>
      <c r="AG89" s="252">
        <f>(AG16+AG22+AG26)/(1+Calculator!$G$74)^(AG1+3.5)</f>
        <v>6918812.6408893019</v>
      </c>
      <c r="AH89" s="252">
        <f>(AH16+AH22+AH26)/(1+Calculator!$G$74)^(AH1+3.5)</f>
        <v>6558116.2472884385</v>
      </c>
      <c r="AI89" s="252">
        <f>(AI16+AI22+AI26)/(1+Calculator!$G$74)^(AI1+3.5)</f>
        <v>6216223.9310790878</v>
      </c>
      <c r="AJ89" s="252">
        <f>(AJ16+AJ22+AJ26)/(1+Calculator!$G$74)^(AJ1+3.5)</f>
        <v>5892155.3849090897</v>
      </c>
      <c r="AK89" s="252">
        <f>(AK16+AK22+AK26)/(1+Calculator!$G$74)^(AK1+3.5)</f>
        <v>5584981.407496768</v>
      </c>
      <c r="AL89" s="252">
        <f>(AL16+AL22+AL26)/(1+Calculator!$G$74)^(AL1+3.5)</f>
        <v>5293821.2393334294</v>
      </c>
      <c r="AM89" s="252">
        <f>(AM16+AM22+AM26)/(1+Calculator!$G$74)^(AM1+3.5)</f>
        <v>5017840.037282872</v>
      </c>
      <c r="AN89" s="252">
        <f>(AN16+AN22+AN26)/(1+Calculator!$G$74)^(AN1+3.5)</f>
        <v>4756246.480836845</v>
      </c>
      <c r="AO89" s="252">
        <f>(AO16+AO22+AO26)/(1+Calculator!$G$74)^(AO1+3.5)</f>
        <v>4508290.5031628869</v>
      </c>
      <c r="AP89" s="252">
        <f>(AP16+AP22+AP26)/(1+Calculator!$G$74)^(AP1+3.5)</f>
        <v>24677688.873751484</v>
      </c>
    </row>
    <row r="90" spans="1:42" s="170" customFormat="1" x14ac:dyDescent="0.2">
      <c r="A90" s="168"/>
      <c r="B90" s="169"/>
      <c r="F90" s="175" t="s">
        <v>66</v>
      </c>
      <c r="G90" s="171">
        <f>G31*1</f>
        <v>0</v>
      </c>
      <c r="H90" s="171">
        <f>H31/(1+Calculator!$G$74)^(H1+3.5)</f>
        <v>0</v>
      </c>
      <c r="I90" s="171">
        <f>I31/(1+Calculator!$G$74)^(I1+3.5)</f>
        <v>0</v>
      </c>
      <c r="J90" s="171">
        <f>J31/(1+Calculator!$G$74)^(J1+3.5)</f>
        <v>0</v>
      </c>
      <c r="K90" s="171">
        <f>K31/(1+Calculator!$G$74)^(K1+3.5)</f>
        <v>0</v>
      </c>
      <c r="L90" s="171">
        <f>L31/(1+Calculator!$G$74)^(L1+3.5)</f>
        <v>3154870.2689389377</v>
      </c>
      <c r="M90" s="171">
        <f>M31/(1+Calculator!$G$74)^(M1+3.5)</f>
        <v>2990398.3591838274</v>
      </c>
      <c r="N90" s="171">
        <f>N31/(1+Calculator!$G$74)^(N1+3.5)</f>
        <v>2834500.8143922533</v>
      </c>
      <c r="O90" s="171">
        <f>O31/(1+Calculator!$G$74)^(O1+3.5)</f>
        <v>2686730.6297556907</v>
      </c>
      <c r="P90" s="171">
        <f>P31/(1+Calculator!$G$74)^(P1+3.5)</f>
        <v>2546664.1040338306</v>
      </c>
      <c r="Q90" s="171">
        <f>Q31/(1+Calculator!$G$74)^(Q1+3.5)</f>
        <v>2413899.6246766164</v>
      </c>
      <c r="R90" s="171">
        <f>R31/(1+Calculator!$G$74)^(R1+3.5)</f>
        <v>2288056.5162811531</v>
      </c>
      <c r="S90" s="171">
        <f>S31/(1+Calculator!$G$74)^(S1+3.5)</f>
        <v>2168773.9490816621</v>
      </c>
      <c r="T90" s="171">
        <f>T31/(1+Calculator!$G$74)^(T1+3.5)</f>
        <v>2055709.9043428078</v>
      </c>
      <c r="U90" s="171">
        <f>U31/(1+Calculator!$G$74)^(U1+3.5)</f>
        <v>1948540.1936898655</v>
      </c>
      <c r="V90" s="171">
        <f>V31/(1+Calculator!$G$74)^(V1+3.5)</f>
        <v>1846957.5295638535</v>
      </c>
      <c r="W90" s="171">
        <f>W31/(1+Calculator!$G$74)^(W1+3.5)</f>
        <v>1750670.6441363541</v>
      </c>
      <c r="X90" s="171">
        <f>X31/(1+Calculator!$G$74)^(X1+3.5)</f>
        <v>1659403.4541576819</v>
      </c>
      <c r="Y90" s="171">
        <f>Y31/(1+Calculator!$G$74)^(Y1+3.5)</f>
        <v>1572894.2693437743</v>
      </c>
      <c r="Z90" s="171">
        <f>Z31/(1+Calculator!$G$74)^(Z1+3.5)</f>
        <v>1490895.0420320134</v>
      </c>
      <c r="AA90" s="171">
        <f>AA31/(1+Calculator!$G$74)^(AA1+3.5)</f>
        <v>1413170.6559545153</v>
      </c>
      <c r="AB90" s="171">
        <f>AB31/(1+Calculator!$G$74)^(AB1+3.5)</f>
        <v>1339498.252089588</v>
      </c>
      <c r="AC90" s="171">
        <f>AC31/(1+Calculator!$G$74)^(AC1+3.5)</f>
        <v>1269666.5896583775</v>
      </c>
      <c r="AD90" s="171">
        <f>AD31/(1+Calculator!$G$74)^(AD1+3.5)</f>
        <v>1203475.440434481</v>
      </c>
      <c r="AE90" s="171">
        <f>AE31/(1+Calculator!$G$74)^(AE1+3.5)</f>
        <v>1140735.0146298399</v>
      </c>
      <c r="AF90" s="171">
        <f>AF31/(1+Calculator!$G$74)^(AF1+3.5)</f>
        <v>1081265.4167107488</v>
      </c>
      <c r="AG90" s="171">
        <f>AG31/(1+Calculator!$G$74)^(AG1+3.5)</f>
        <v>1024896.1295836482</v>
      </c>
      <c r="AH90" s="171">
        <f>AH31/(1+Calculator!$G$74)^(AH1+3.5)</f>
        <v>971465.52567170456</v>
      </c>
      <c r="AI90" s="171">
        <f>AI31/(1+Calculator!$G$74)^(AI1+3.5)</f>
        <v>920820.40348028846</v>
      </c>
      <c r="AJ90" s="171">
        <f>AJ31/(1+Calculator!$G$74)^(AJ1+3.5)</f>
        <v>872815.54832254851</v>
      </c>
      <c r="AK90" s="171">
        <f>AK31/(1+Calculator!$G$74)^(AK1+3.5)</f>
        <v>827313.31594554381</v>
      </c>
      <c r="AL90" s="171">
        <f>AL31/(1+Calculator!$G$74)^(AL1+3.5)</f>
        <v>784183.23786307464</v>
      </c>
      <c r="AM90" s="171">
        <f>AM31/(1+Calculator!$G$74)^(AM1+3.5)</f>
        <v>743301.64726357791</v>
      </c>
      <c r="AN90" s="171">
        <f>AN31/(1+Calculator!$G$74)^(AN1+3.5)</f>
        <v>704551.32442045293</v>
      </c>
      <c r="AO90" s="171">
        <f>AO31/(1+Calculator!$G$74)^(AO1+3.5)</f>
        <v>667821.16058810719</v>
      </c>
      <c r="AP90" s="171">
        <f>AP31/(1+Calculator!$G$74)^(AP1+3.5)</f>
        <v>0</v>
      </c>
    </row>
    <row r="91" spans="1:42" x14ac:dyDescent="0.2">
      <c r="H91" s="155"/>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I45"/>
  <sheetViews>
    <sheetView showGridLines="0" zoomScaleNormal="100" workbookViewId="0"/>
  </sheetViews>
  <sheetFormatPr defaultColWidth="9.140625" defaultRowHeight="12.75" x14ac:dyDescent="0.2"/>
  <cols>
    <col min="1" max="1" width="25.5703125" style="390" customWidth="1"/>
    <col min="2" max="2" width="54.28515625" style="390" bestFit="1" customWidth="1"/>
    <col min="3" max="7" width="10.7109375" style="390" customWidth="1"/>
    <col min="8" max="16384" width="9.140625" style="390"/>
  </cols>
  <sheetData>
    <row r="1" spans="1:9" x14ac:dyDescent="0.2">
      <c r="A1" s="389"/>
    </row>
    <row r="2" spans="1:9" ht="13.5" thickBot="1" x14ac:dyDescent="0.25">
      <c r="A2" s="389"/>
      <c r="H2" s="389"/>
      <c r="I2" s="389"/>
    </row>
    <row r="3" spans="1:9" ht="13.5" thickBot="1" x14ac:dyDescent="0.25">
      <c r="A3" s="389"/>
      <c r="B3" s="389"/>
      <c r="C3" s="391" t="s">
        <v>295</v>
      </c>
      <c r="D3" s="391"/>
      <c r="E3" s="391"/>
      <c r="F3" s="391"/>
      <c r="G3" s="391"/>
      <c r="H3" s="389"/>
      <c r="I3" s="389"/>
    </row>
    <row r="4" spans="1:9" ht="13.5" thickBot="1" x14ac:dyDescent="0.25">
      <c r="A4" s="389"/>
      <c r="B4" s="389"/>
      <c r="C4" s="391" t="s">
        <v>275</v>
      </c>
      <c r="D4" s="392" t="s">
        <v>276</v>
      </c>
      <c r="E4" s="392" t="s">
        <v>277</v>
      </c>
      <c r="F4" s="392" t="s">
        <v>278</v>
      </c>
      <c r="G4" s="392" t="s">
        <v>279</v>
      </c>
      <c r="H4" s="389"/>
      <c r="I4" s="389"/>
    </row>
    <row r="5" spans="1:9" x14ac:dyDescent="0.2">
      <c r="A5" s="389"/>
      <c r="B5" s="386" t="s">
        <v>71</v>
      </c>
      <c r="C5" s="393" t="s">
        <v>31</v>
      </c>
      <c r="D5" s="394" t="s">
        <v>32</v>
      </c>
      <c r="E5" s="394" t="s">
        <v>33</v>
      </c>
      <c r="F5" s="394" t="s">
        <v>34</v>
      </c>
      <c r="G5" s="394" t="s">
        <v>113</v>
      </c>
      <c r="H5" s="389"/>
      <c r="I5" s="389"/>
    </row>
    <row r="6" spans="1:9" x14ac:dyDescent="0.2">
      <c r="A6" s="389"/>
      <c r="B6" s="395" t="s">
        <v>259</v>
      </c>
      <c r="C6" s="396">
        <v>41.7</v>
      </c>
      <c r="D6" s="396">
        <v>42.2</v>
      </c>
      <c r="E6" s="396">
        <v>43.2</v>
      </c>
      <c r="F6" s="396">
        <v>46.1</v>
      </c>
      <c r="G6" s="397">
        <v>58.9</v>
      </c>
      <c r="H6" s="389"/>
      <c r="I6" s="389"/>
    </row>
    <row r="7" spans="1:9" x14ac:dyDescent="0.2">
      <c r="A7" s="389"/>
      <c r="B7" s="395" t="s">
        <v>260</v>
      </c>
      <c r="C7" s="396">
        <v>41.7</v>
      </c>
      <c r="D7" s="396">
        <v>42.2</v>
      </c>
      <c r="E7" s="396">
        <v>43.3</v>
      </c>
      <c r="F7" s="396">
        <v>44.9</v>
      </c>
      <c r="G7" s="397">
        <v>59</v>
      </c>
      <c r="H7" s="389"/>
      <c r="I7" s="389"/>
    </row>
    <row r="8" spans="1:9" x14ac:dyDescent="0.2">
      <c r="A8" s="389"/>
      <c r="B8" s="398" t="s">
        <v>25</v>
      </c>
      <c r="C8" s="396">
        <v>37.799999999999997</v>
      </c>
      <c r="D8" s="396">
        <v>38.6</v>
      </c>
      <c r="E8" s="396">
        <v>40.4</v>
      </c>
      <c r="F8" s="396">
        <v>41.7</v>
      </c>
      <c r="G8" s="397">
        <v>50.6</v>
      </c>
      <c r="H8" s="389"/>
      <c r="I8" s="389"/>
    </row>
    <row r="9" spans="1:9" x14ac:dyDescent="0.2">
      <c r="A9" s="389"/>
      <c r="B9" s="398" t="s">
        <v>258</v>
      </c>
      <c r="C9" s="396">
        <v>811.4</v>
      </c>
      <c r="D9" s="396">
        <v>811.4</v>
      </c>
      <c r="E9" s="396">
        <v>811.4</v>
      </c>
      <c r="F9" s="396">
        <v>811.4</v>
      </c>
      <c r="G9" s="397">
        <v>830.9</v>
      </c>
      <c r="H9" s="389"/>
      <c r="I9" s="389"/>
    </row>
    <row r="10" spans="1:9" x14ac:dyDescent="0.2">
      <c r="A10" s="389"/>
      <c r="B10" s="398" t="s">
        <v>69</v>
      </c>
      <c r="C10" s="396">
        <v>70.8</v>
      </c>
      <c r="D10" s="396">
        <v>70.8</v>
      </c>
      <c r="E10" s="396">
        <v>70.8</v>
      </c>
      <c r="F10" s="396">
        <v>70.8</v>
      </c>
      <c r="G10" s="397">
        <v>135.9</v>
      </c>
      <c r="H10" s="389"/>
      <c r="I10" s="389"/>
    </row>
    <row r="11" spans="1:9" x14ac:dyDescent="0.2">
      <c r="A11" s="389"/>
      <c r="B11" s="398" t="s">
        <v>119</v>
      </c>
      <c r="C11" s="396">
        <v>178.2</v>
      </c>
      <c r="D11" s="396">
        <v>198.1</v>
      </c>
      <c r="E11" s="396">
        <v>222.5</v>
      </c>
      <c r="F11" s="396">
        <v>198</v>
      </c>
      <c r="G11" s="397">
        <v>627</v>
      </c>
      <c r="H11" s="389"/>
      <c r="I11" s="389"/>
    </row>
    <row r="12" spans="1:9" x14ac:dyDescent="0.2">
      <c r="A12" s="389"/>
      <c r="B12" s="398" t="s">
        <v>16</v>
      </c>
      <c r="C12" s="396">
        <v>22.7</v>
      </c>
      <c r="D12" s="396">
        <v>22.8</v>
      </c>
      <c r="E12" s="396">
        <v>22.8</v>
      </c>
      <c r="F12" s="396">
        <v>22.8</v>
      </c>
      <c r="G12" s="397">
        <v>26.9</v>
      </c>
      <c r="H12" s="389"/>
      <c r="I12" s="389"/>
    </row>
    <row r="13" spans="1:9" x14ac:dyDescent="0.2">
      <c r="A13" s="389"/>
      <c r="B13" s="398" t="s">
        <v>17</v>
      </c>
      <c r="C13" s="396">
        <v>131.1</v>
      </c>
      <c r="D13" s="396">
        <v>137.4</v>
      </c>
      <c r="E13" s="396">
        <v>183.3</v>
      </c>
      <c r="F13" s="396">
        <v>142</v>
      </c>
      <c r="G13" s="397">
        <v>85.5</v>
      </c>
      <c r="H13" s="389"/>
      <c r="I13" s="389"/>
    </row>
    <row r="14" spans="1:9" x14ac:dyDescent="0.2">
      <c r="A14" s="389"/>
      <c r="B14" s="398" t="s">
        <v>250</v>
      </c>
      <c r="C14" s="396">
        <v>332.3</v>
      </c>
      <c r="D14" s="396">
        <v>337.5</v>
      </c>
      <c r="E14" s="396">
        <v>342.7</v>
      </c>
      <c r="F14" s="396">
        <v>460.8</v>
      </c>
      <c r="G14" s="397">
        <v>388.1</v>
      </c>
      <c r="H14" s="389"/>
      <c r="I14" s="389"/>
    </row>
    <row r="15" spans="1:9" x14ac:dyDescent="0.2">
      <c r="A15" s="389"/>
      <c r="B15" s="399" t="s">
        <v>53</v>
      </c>
      <c r="C15" s="400">
        <v>1667.6999999999998</v>
      </c>
      <c r="D15" s="400">
        <v>1701</v>
      </c>
      <c r="E15" s="400">
        <v>1780.3999999999999</v>
      </c>
      <c r="F15" s="400">
        <v>1838.4999999999998</v>
      </c>
      <c r="G15" s="401">
        <v>2262.8000000000002</v>
      </c>
      <c r="H15" s="389"/>
      <c r="I15" s="389"/>
    </row>
    <row r="16" spans="1:9" x14ac:dyDescent="0.2">
      <c r="A16" s="389"/>
      <c r="B16" s="387" t="s">
        <v>72</v>
      </c>
      <c r="C16" s="402"/>
      <c r="D16" s="402"/>
      <c r="E16" s="402"/>
      <c r="F16" s="402"/>
      <c r="G16" s="403"/>
      <c r="H16" s="389"/>
      <c r="I16" s="389"/>
    </row>
    <row r="17" spans="1:9" x14ac:dyDescent="0.2">
      <c r="A17" s="389"/>
      <c r="B17" s="398" t="s">
        <v>121</v>
      </c>
      <c r="C17" s="396">
        <v>11.3</v>
      </c>
      <c r="D17" s="396">
        <v>11.5</v>
      </c>
      <c r="E17" s="396">
        <v>11.7</v>
      </c>
      <c r="F17" s="396">
        <v>12.6</v>
      </c>
      <c r="G17" s="397">
        <v>14</v>
      </c>
      <c r="H17" s="389"/>
      <c r="I17" s="389"/>
    </row>
    <row r="18" spans="1:9" x14ac:dyDescent="0.2">
      <c r="A18" s="389"/>
      <c r="B18" s="398" t="s">
        <v>26</v>
      </c>
      <c r="C18" s="396">
        <v>3.5</v>
      </c>
      <c r="D18" s="396">
        <v>3.5</v>
      </c>
      <c r="E18" s="396">
        <v>3.5</v>
      </c>
      <c r="F18" s="396">
        <v>3.7</v>
      </c>
      <c r="G18" s="397">
        <v>3.9</v>
      </c>
      <c r="H18" s="389"/>
      <c r="I18" s="389"/>
    </row>
    <row r="19" spans="1:9" x14ac:dyDescent="0.2">
      <c r="A19" s="389"/>
      <c r="B19" s="398" t="s">
        <v>18</v>
      </c>
      <c r="C19" s="396">
        <v>12.3</v>
      </c>
      <c r="D19" s="396">
        <v>12.3</v>
      </c>
      <c r="E19" s="396">
        <v>12.3</v>
      </c>
      <c r="F19" s="396">
        <v>14</v>
      </c>
      <c r="G19" s="397">
        <v>12.6</v>
      </c>
      <c r="H19" s="389"/>
      <c r="I19" s="389"/>
    </row>
    <row r="20" spans="1:9" x14ac:dyDescent="0.2">
      <c r="A20" s="389"/>
      <c r="B20" s="399" t="s">
        <v>48</v>
      </c>
      <c r="C20" s="400">
        <v>27.1</v>
      </c>
      <c r="D20" s="400">
        <v>27.3</v>
      </c>
      <c r="E20" s="400">
        <v>27.5</v>
      </c>
      <c r="F20" s="400">
        <v>30.3</v>
      </c>
      <c r="G20" s="401">
        <v>30.5</v>
      </c>
      <c r="H20" s="389"/>
      <c r="I20" s="389"/>
    </row>
    <row r="21" spans="1:9" x14ac:dyDescent="0.2">
      <c r="A21" s="389"/>
      <c r="B21" s="389"/>
      <c r="C21" s="404"/>
      <c r="D21" s="404"/>
      <c r="E21" s="404"/>
      <c r="F21" s="404"/>
      <c r="G21" s="404"/>
      <c r="H21" s="389"/>
      <c r="I21" s="389"/>
    </row>
    <row r="22" spans="1:9" x14ac:dyDescent="0.2">
      <c r="A22" s="389"/>
      <c r="B22" s="398" t="s">
        <v>49</v>
      </c>
      <c r="C22" s="402">
        <v>4681</v>
      </c>
      <c r="D22" s="402">
        <v>4906</v>
      </c>
      <c r="E22" s="402">
        <v>5061</v>
      </c>
      <c r="F22" s="402">
        <v>5210</v>
      </c>
      <c r="G22" s="403">
        <v>5000</v>
      </c>
      <c r="H22" s="389"/>
      <c r="I22" s="389"/>
    </row>
    <row r="23" spans="1:9" x14ac:dyDescent="0.2">
      <c r="A23" s="389"/>
      <c r="B23" s="398" t="s">
        <v>27</v>
      </c>
      <c r="C23" s="405">
        <v>0.95599999999999996</v>
      </c>
      <c r="D23" s="405">
        <v>0.95599999999999996</v>
      </c>
      <c r="E23" s="405">
        <v>0.95599999999999996</v>
      </c>
      <c r="F23" s="405">
        <v>0.95599999999999996</v>
      </c>
      <c r="G23" s="406">
        <v>0.95599999999999996</v>
      </c>
      <c r="H23" s="389"/>
      <c r="I23" s="389"/>
    </row>
    <row r="24" spans="1:9" x14ac:dyDescent="0.2">
      <c r="A24" s="389"/>
      <c r="B24" s="398" t="s">
        <v>50</v>
      </c>
      <c r="C24" s="405">
        <v>6.7000000000000004E-2</v>
      </c>
      <c r="D24" s="405">
        <v>6.0999999999999999E-2</v>
      </c>
      <c r="E24" s="405">
        <v>5.6000000000000001E-2</v>
      </c>
      <c r="F24" s="405">
        <v>5.1999999999999998E-2</v>
      </c>
      <c r="G24" s="406">
        <v>5.6000000000000001E-2</v>
      </c>
      <c r="H24" s="389"/>
      <c r="I24" s="389"/>
    </row>
    <row r="25" spans="1:9" x14ac:dyDescent="0.2">
      <c r="A25" s="389"/>
      <c r="B25" s="398" t="s">
        <v>51</v>
      </c>
      <c r="C25" s="405">
        <v>0.01</v>
      </c>
      <c r="D25" s="405">
        <v>0.01</v>
      </c>
      <c r="E25" s="405">
        <v>0.01</v>
      </c>
      <c r="F25" s="405">
        <v>0.01</v>
      </c>
      <c r="G25" s="406">
        <v>0.01</v>
      </c>
      <c r="H25" s="389"/>
      <c r="I25" s="389"/>
    </row>
    <row r="26" spans="1:9" x14ac:dyDescent="0.2">
      <c r="A26" s="389"/>
      <c r="B26" s="398" t="s">
        <v>115</v>
      </c>
      <c r="C26" s="405">
        <v>0.01</v>
      </c>
      <c r="D26" s="405">
        <v>0.01</v>
      </c>
      <c r="E26" s="405">
        <v>0.01</v>
      </c>
      <c r="F26" s="405">
        <v>0.01</v>
      </c>
      <c r="G26" s="406">
        <v>0.01</v>
      </c>
      <c r="H26" s="389"/>
      <c r="I26" s="389"/>
    </row>
    <row r="27" spans="1:9" x14ac:dyDescent="0.2">
      <c r="A27" s="389"/>
      <c r="B27" s="398" t="s">
        <v>52</v>
      </c>
      <c r="C27" s="405">
        <v>1.9E-2</v>
      </c>
      <c r="D27" s="405">
        <v>1.9E-2</v>
      </c>
      <c r="E27" s="405">
        <v>1.9E-2</v>
      </c>
      <c r="F27" s="405">
        <v>1.9E-2</v>
      </c>
      <c r="G27" s="406">
        <v>1.9E-2</v>
      </c>
      <c r="H27" s="389"/>
      <c r="I27" s="389"/>
    </row>
    <row r="28" spans="1:9" x14ac:dyDescent="0.2">
      <c r="A28" s="389"/>
      <c r="B28" s="387" t="s">
        <v>36</v>
      </c>
      <c r="C28" s="402">
        <v>4014.3716202939227</v>
      </c>
      <c r="D28" s="402">
        <v>4234.3858039702818</v>
      </c>
      <c r="E28" s="402">
        <v>4391.426521886342</v>
      </c>
      <c r="F28" s="402">
        <v>4539.8692949654878</v>
      </c>
      <c r="G28" s="403">
        <v>4338.496860192</v>
      </c>
      <c r="H28" s="389"/>
      <c r="I28" s="389"/>
    </row>
    <row r="29" spans="1:9" x14ac:dyDescent="0.2">
      <c r="A29" s="389"/>
      <c r="B29" s="407"/>
      <c r="C29" s="404"/>
      <c r="D29" s="404"/>
      <c r="E29" s="404"/>
      <c r="F29" s="404"/>
      <c r="G29" s="404"/>
      <c r="H29" s="389"/>
      <c r="I29" s="389"/>
    </row>
    <row r="30" spans="1:9" x14ac:dyDescent="0.2">
      <c r="A30" s="389"/>
      <c r="B30" s="387" t="s">
        <v>307</v>
      </c>
      <c r="C30" s="402"/>
      <c r="D30" s="402"/>
      <c r="E30" s="402"/>
      <c r="F30" s="402"/>
      <c r="G30" s="403"/>
      <c r="H30" s="389"/>
      <c r="I30" s="389"/>
    </row>
    <row r="31" spans="1:9" x14ac:dyDescent="0.2">
      <c r="A31" s="389"/>
      <c r="B31" s="399" t="s">
        <v>118</v>
      </c>
      <c r="C31" s="396">
        <v>156.5</v>
      </c>
      <c r="D31" s="396">
        <v>161.69999999999999</v>
      </c>
      <c r="E31" s="396">
        <v>192.7</v>
      </c>
      <c r="F31" s="396">
        <v>191.1</v>
      </c>
      <c r="G31" s="397">
        <v>89.9</v>
      </c>
      <c r="H31" s="389"/>
      <c r="I31" s="389"/>
    </row>
    <row r="32" spans="1:9" x14ac:dyDescent="0.2">
      <c r="A32" s="389"/>
      <c r="C32" s="404"/>
      <c r="D32" s="404"/>
      <c r="E32" s="404"/>
      <c r="F32" s="404"/>
      <c r="G32" s="404"/>
      <c r="H32" s="389"/>
      <c r="I32" s="389"/>
    </row>
    <row r="33" spans="1:9" x14ac:dyDescent="0.2">
      <c r="A33" s="389"/>
      <c r="B33" s="388" t="s">
        <v>63</v>
      </c>
      <c r="C33" s="402">
        <v>25</v>
      </c>
      <c r="D33" s="402">
        <v>35</v>
      </c>
      <c r="E33" s="402">
        <v>45</v>
      </c>
      <c r="F33" s="402">
        <v>35</v>
      </c>
      <c r="G33" s="403">
        <v>100</v>
      </c>
      <c r="H33" s="389"/>
      <c r="I33" s="389"/>
    </row>
    <row r="34" spans="1:9" x14ac:dyDescent="0.2">
      <c r="A34" s="389"/>
      <c r="B34" s="388" t="s">
        <v>80</v>
      </c>
      <c r="C34" s="402">
        <v>40</v>
      </c>
      <c r="D34" s="402">
        <v>40</v>
      </c>
      <c r="E34" s="402">
        <v>40</v>
      </c>
      <c r="F34" s="402">
        <v>125</v>
      </c>
      <c r="G34" s="403">
        <v>40</v>
      </c>
      <c r="H34" s="389"/>
      <c r="I34" s="389"/>
    </row>
    <row r="35" spans="1:9" x14ac:dyDescent="0.2">
      <c r="A35" s="389"/>
      <c r="B35" s="388" t="s">
        <v>64</v>
      </c>
      <c r="C35" s="408">
        <v>9</v>
      </c>
      <c r="D35" s="408">
        <v>9.4</v>
      </c>
      <c r="E35" s="408">
        <v>9.6999999999999993</v>
      </c>
      <c r="F35" s="408">
        <v>10</v>
      </c>
      <c r="G35" s="409">
        <v>9.75</v>
      </c>
      <c r="H35" s="389"/>
      <c r="I35" s="389"/>
    </row>
    <row r="36" spans="1:9" x14ac:dyDescent="0.2">
      <c r="A36" s="389"/>
      <c r="B36" s="388" t="s">
        <v>68</v>
      </c>
      <c r="C36" s="402" t="s">
        <v>108</v>
      </c>
      <c r="D36" s="402" t="s">
        <v>108</v>
      </c>
      <c r="E36" s="402" t="s">
        <v>107</v>
      </c>
      <c r="F36" s="402" t="s">
        <v>108</v>
      </c>
      <c r="G36" s="403" t="s">
        <v>111</v>
      </c>
      <c r="H36" s="389"/>
      <c r="I36" s="389"/>
    </row>
    <row r="37" spans="1:9" x14ac:dyDescent="0.2">
      <c r="A37" s="389"/>
      <c r="C37" s="410"/>
      <c r="D37" s="410"/>
      <c r="E37" s="410"/>
      <c r="F37" s="410"/>
      <c r="G37" s="410"/>
      <c r="H37" s="389"/>
      <c r="I37" s="389"/>
    </row>
    <row r="38" spans="1:9" x14ac:dyDescent="0.2">
      <c r="A38" s="389"/>
      <c r="B38" s="411" t="s">
        <v>132</v>
      </c>
      <c r="C38" s="412">
        <v>30</v>
      </c>
      <c r="D38" s="412">
        <v>30</v>
      </c>
      <c r="E38" s="412">
        <v>30</v>
      </c>
      <c r="F38" s="412">
        <v>30</v>
      </c>
      <c r="G38" s="413">
        <v>30</v>
      </c>
      <c r="H38" s="389"/>
      <c r="I38" s="389"/>
    </row>
    <row r="39" spans="1:9" x14ac:dyDescent="0.2">
      <c r="A39" s="389"/>
      <c r="B39" s="411" t="s">
        <v>131</v>
      </c>
      <c r="C39" s="412">
        <v>1000</v>
      </c>
      <c r="D39" s="412">
        <v>1000</v>
      </c>
      <c r="E39" s="412">
        <v>1000</v>
      </c>
      <c r="F39" s="412">
        <v>1000</v>
      </c>
      <c r="G39" s="413">
        <v>1000</v>
      </c>
      <c r="H39" s="389"/>
      <c r="I39" s="389"/>
    </row>
    <row r="40" spans="1:9" x14ac:dyDescent="0.2">
      <c r="A40" s="389"/>
      <c r="B40" s="411" t="s">
        <v>93</v>
      </c>
      <c r="C40" s="414">
        <v>5.5E-2</v>
      </c>
      <c r="D40" s="414">
        <v>5.5E-2</v>
      </c>
      <c r="E40" s="414">
        <v>5.5E-2</v>
      </c>
      <c r="F40" s="414">
        <v>5.5E-2</v>
      </c>
      <c r="G40" s="415">
        <v>6.5000000000000002E-2</v>
      </c>
      <c r="H40" s="389"/>
      <c r="I40" s="389"/>
    </row>
    <row r="41" spans="1:9" x14ac:dyDescent="0.2">
      <c r="A41" s="389"/>
      <c r="C41" s="410"/>
      <c r="D41" s="410"/>
      <c r="E41" s="410"/>
      <c r="F41" s="410"/>
      <c r="G41" s="410"/>
      <c r="H41" s="389"/>
      <c r="I41" s="389"/>
    </row>
    <row r="42" spans="1:9" x14ac:dyDescent="0.2">
      <c r="A42" s="389"/>
      <c r="B42" s="383" t="s">
        <v>70</v>
      </c>
      <c r="C42" s="416">
        <v>38.870262142982007</v>
      </c>
      <c r="D42" s="416">
        <v>37.504911685030635</v>
      </c>
      <c r="E42" s="416">
        <v>37.645364518289767</v>
      </c>
      <c r="F42" s="416">
        <v>38.132274528561616</v>
      </c>
      <c r="G42" s="417">
        <v>51.719631322937879</v>
      </c>
      <c r="H42" s="389"/>
      <c r="I42" s="389"/>
    </row>
    <row r="43" spans="1:9" x14ac:dyDescent="0.2">
      <c r="A43" s="389"/>
      <c r="B43" s="411" t="s">
        <v>312</v>
      </c>
      <c r="C43" s="418">
        <v>1</v>
      </c>
      <c r="D43" s="418">
        <v>0.96487416388062908</v>
      </c>
      <c r="E43" s="418">
        <v>0.96848753887518113</v>
      </c>
      <c r="F43" s="418">
        <v>0.98101408187817862</v>
      </c>
      <c r="G43" s="419">
        <v>1.3305706849284991</v>
      </c>
      <c r="H43" s="389"/>
      <c r="I43" s="389"/>
    </row>
    <row r="44" spans="1:9" x14ac:dyDescent="0.2">
      <c r="A44" s="389"/>
      <c r="D44" s="420"/>
      <c r="H44" s="389"/>
      <c r="I44" s="389"/>
    </row>
    <row r="45" spans="1:9" x14ac:dyDescent="0.2">
      <c r="E45" s="410"/>
      <c r="F45" s="410"/>
      <c r="G45" s="410"/>
    </row>
  </sheetData>
  <sheetProtection algorithmName="SHA-512" hashValue="2xjEUgJSelxcViIIazW/W6UUkrTAZhq53Cbig8dPQXZypwe64/bV6/L4QbBsP3XyQJCit0Q4P8QPe8yxgVh7NQ==" saltValue="KYQ5IdGAFMxxBU/D7Igc4A==" spinCount="100000" sheet="1" objects="1" scenarios="1"/>
  <customSheetViews>
    <customSheetView guid="{6EFC19BA-DD6E-47CD-9957-A134841DA95E}" state="hidden">
      <selection activeCell="B6" sqref="B6"/>
      <pageMargins left="0.7" right="0.7" top="0.75" bottom="0.75" header="0.3" footer="0.3"/>
    </customSheetView>
  </customSheetView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0AD32288A98F43975586F1DFBCF6FF" ma:contentTypeVersion="10" ma:contentTypeDescription="Create a new document." ma:contentTypeScope="" ma:versionID="35173f1399558bb3891e5a9a98974b0a">
  <xsd:schema xmlns:xsd="http://www.w3.org/2001/XMLSchema" xmlns:xs="http://www.w3.org/2001/XMLSchema" xmlns:p="http://schemas.microsoft.com/office/2006/metadata/properties" xmlns:ns2="5f1724cf-2aa9-440b-971e-f61861b33868" xmlns:ns3="a8bb416f-6165-4929-901e-b1b9ab84d925" targetNamespace="http://schemas.microsoft.com/office/2006/metadata/properties" ma:root="true" ma:fieldsID="96022e83b3ed9b3a1481225754a61280" ns2:_="" ns3:_="">
    <xsd:import namespace="5f1724cf-2aa9-440b-971e-f61861b33868"/>
    <xsd:import namespace="a8bb416f-6165-4929-901e-b1b9ab84d92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1724cf-2aa9-440b-971e-f61861b338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bb416f-6165-4929-901e-b1b9ab84d92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B94ED7-8D24-42D2-BE80-4AA5A0A0865A}">
  <ds:schemaRefs>
    <ds:schemaRef ds:uri="http://schemas.microsoft.com/office/2006/metadata/properties"/>
    <ds:schemaRef ds:uri="http://schemas.openxmlformats.org/package/2006/metadata/core-properties"/>
    <ds:schemaRef ds:uri="http://www.w3.org/XML/1998/namespace"/>
    <ds:schemaRef ds:uri="http://purl.org/dc/elements/1.1/"/>
    <ds:schemaRef ds:uri="http://purl.org/dc/dcmitype/"/>
    <ds:schemaRef ds:uri="http://schemas.microsoft.com/office/2006/documentManagement/types"/>
    <ds:schemaRef ds:uri="http://schemas.microsoft.com/office/infopath/2007/PartnerControls"/>
    <ds:schemaRef ds:uri="5f1724cf-2aa9-440b-971e-f61861b33868"/>
    <ds:schemaRef ds:uri="http://purl.org/dc/terms/"/>
  </ds:schemaRefs>
</ds:datastoreItem>
</file>

<file path=customXml/itemProps2.xml><?xml version="1.0" encoding="utf-8"?>
<ds:datastoreItem xmlns:ds="http://schemas.openxmlformats.org/officeDocument/2006/customXml" ds:itemID="{CCC5195D-00A3-4ADB-84FB-B503C0BEF00A}"/>
</file>

<file path=customXml/itemProps3.xml><?xml version="1.0" encoding="utf-8"?>
<ds:datastoreItem xmlns:ds="http://schemas.openxmlformats.org/officeDocument/2006/customXml" ds:itemID="{75B96C15-621C-4BB7-A5F9-6F4366DB4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About</vt:lpstr>
      <vt:lpstr>Contents and instructions</vt:lpstr>
      <vt:lpstr>Stakeholder</vt:lpstr>
      <vt:lpstr>Definitions</vt:lpstr>
      <vt:lpstr>Calculator</vt:lpstr>
      <vt:lpstr>LCOE Base</vt:lpstr>
      <vt:lpstr>LCOE Innovation</vt:lpstr>
      <vt:lpstr>Contributions to LCOE</vt:lpstr>
      <vt:lpstr>Data</vt:lpstr>
      <vt:lpstr>input_data</vt:lpstr>
      <vt:lpstr>Calculator!Print_Area</vt:lpstr>
      <vt:lpstr>Stakeholder!Print_Area</vt:lpstr>
    </vt:vector>
  </TitlesOfParts>
  <Company>Crown Estate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Blanch</dc:creator>
  <cp:lastModifiedBy>Mike Blanch</cp:lastModifiedBy>
  <cp:lastPrinted>2015-06-30T10:17:53Z</cp:lastPrinted>
  <dcterms:created xsi:type="dcterms:W3CDTF">2011-11-03T17:18:31Z</dcterms:created>
  <dcterms:modified xsi:type="dcterms:W3CDTF">2021-03-31T21:58:17Z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0x010100500AD32288A98F43975586F1DFBCF6FF</vt:lpwstr>
  </property>
  <property fmtid="{D5CDD505-2E9C-101B-9397-08002B2CF9AE}" pid="3" name="Order">
    <vt:r8>58100</vt:r8>
  </property>
</Properties>
</file>